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Jennifer.King\Documents\Authority Board\July 29, 2022\YWLA\"/>
    </mc:Choice>
  </mc:AlternateContent>
  <xr:revisionPtr revIDLastSave="0" documentId="8_{A4D32474-9B45-47A1-875B-5BD54092DCB1}" xr6:coauthVersionLast="47" xr6:coauthVersionMax="47" xr10:uidLastSave="{00000000-0000-0000-0000-000000000000}"/>
  <bookViews>
    <workbookView xWindow="-108" yWindow="-108" windowWidth="23256" windowHeight="12576" tabRatio="886" firstSheet="1" activeTab="8" xr2:uid="{00000000-000D-0000-FFFF-FFFF00000000}"/>
  </bookViews>
  <sheets>
    <sheet name="21-22" sheetId="14" r:id="rId1"/>
    <sheet name="22-23" sheetId="15" r:id="rId2"/>
    <sheet name="23-24" sheetId="16" r:id="rId3"/>
    <sheet name="24-25" sheetId="17" r:id="rId4"/>
    <sheet name="25-26" sheetId="18" r:id="rId5"/>
    <sheet name="26-27" sheetId="19" r:id="rId6"/>
    <sheet name="27-28" sheetId="20" r:id="rId7"/>
    <sheet name="FFE Summary" sheetId="3" r:id="rId8"/>
    <sheet name="6-Year (auto-populated)" sheetId="21" r:id="rId9"/>
    <sheet name="enrollment" sheetId="6" r:id="rId10"/>
    <sheet name="lease projections" sheetId="8" r:id="rId11"/>
    <sheet name="Funding History" sheetId="11" r:id="rId12"/>
    <sheet name="Enrollment Tables" sheetId="9" r:id="rId13"/>
    <sheet name="Staffing Tables" sheetId="10" r:id="rId14"/>
    <sheet name="Staffing Narrative" sheetId="12" r:id="rId15"/>
    <sheet name="Cash Flow" sheetId="4" r:id="rId16"/>
    <sheet name="YWLA Year 1 Budget" sheetId="2" r:id="rId17"/>
  </sheets>
  <definedNames>
    <definedName name="_Toc4075975" localSheetId="13">'Staffing Tables'!$B$47</definedName>
    <definedName name="_Toc4075978" localSheetId="12">'Enrollment Tables'!$B$8</definedName>
    <definedName name="_xlnm.Print_Area" localSheetId="0">'21-22'!$A$1:$I$213</definedName>
    <definedName name="_xlnm.Print_Area" localSheetId="1">'22-23'!$A$1:$J$213</definedName>
    <definedName name="_xlnm.Print_Area" localSheetId="2">'23-24'!$A$1:$J$213</definedName>
    <definedName name="_xlnm.Print_Area" localSheetId="3">'24-25'!$A$1:$I$213</definedName>
    <definedName name="_xlnm.Print_Area" localSheetId="4">'25-26'!$A$1:$I$213</definedName>
    <definedName name="_xlnm.Print_Area" localSheetId="5">'26-27'!$A$1:$I$213</definedName>
    <definedName name="_xlnm.Print_Area" localSheetId="6">'27-28'!$A$1:$I$213</definedName>
    <definedName name="_xlnm.Print_Area" localSheetId="8">'6-Year (auto-populated)'!$A$1:$I$213</definedName>
    <definedName name="_xlnm.Print_Area" localSheetId="15">'Cash Flow'!$A$1:$P$105</definedName>
    <definedName name="_xlnm.Print_Area" localSheetId="12">'Enrollment Tables'!$A$1:$I$74</definedName>
    <definedName name="_xlnm.Print_Area" localSheetId="13">'Staffing Tables'!$A$1:$I$131</definedName>
    <definedName name="_xlnm.Print_Area" localSheetId="16">'YWLA Year 1 Budget'!$A$1:$D$207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85" i="14" l="1"/>
  <c r="H85" i="14"/>
  <c r="D87" i="14"/>
  <c r="E87" i="14"/>
  <c r="F87" i="14"/>
  <c r="G87" i="14"/>
  <c r="H87" i="14"/>
  <c r="D88" i="14"/>
  <c r="E88" i="14"/>
  <c r="F88" i="14"/>
  <c r="G88" i="14"/>
  <c r="H88" i="14"/>
  <c r="D89" i="14"/>
  <c r="E89" i="14"/>
  <c r="F89" i="14"/>
  <c r="G89" i="14"/>
  <c r="H89" i="14"/>
  <c r="D90" i="14"/>
  <c r="E90" i="14"/>
  <c r="F90" i="14"/>
  <c r="G90" i="14"/>
  <c r="H90" i="14"/>
  <c r="D91" i="14"/>
  <c r="E91" i="14"/>
  <c r="F91" i="14"/>
  <c r="G91" i="14"/>
  <c r="H91" i="14"/>
  <c r="D92" i="14"/>
  <c r="E92" i="14"/>
  <c r="F92" i="14"/>
  <c r="G92" i="14"/>
  <c r="H92" i="14"/>
  <c r="D93" i="14"/>
  <c r="E93" i="14"/>
  <c r="F93" i="14"/>
  <c r="G93" i="14"/>
  <c r="H93" i="14"/>
  <c r="D94" i="14"/>
  <c r="E94" i="14"/>
  <c r="F94" i="14"/>
  <c r="G94" i="14"/>
  <c r="H94" i="14"/>
  <c r="D95" i="14"/>
  <c r="E95" i="14"/>
  <c r="F95" i="14"/>
  <c r="G95" i="14"/>
  <c r="H95" i="14"/>
  <c r="D96" i="14"/>
  <c r="E96" i="14"/>
  <c r="F96" i="14"/>
  <c r="G96" i="14"/>
  <c r="H96" i="14"/>
  <c r="D97" i="14"/>
  <c r="E97" i="14"/>
  <c r="F97" i="14"/>
  <c r="G97" i="14"/>
  <c r="H97" i="14"/>
  <c r="C88" i="14"/>
  <c r="C89" i="14"/>
  <c r="C90" i="14"/>
  <c r="C91" i="14"/>
  <c r="C92" i="14"/>
  <c r="C93" i="14"/>
  <c r="C94" i="14"/>
  <c r="C95" i="14"/>
  <c r="C97" i="14"/>
  <c r="G87" i="16"/>
  <c r="G88" i="16"/>
  <c r="G89" i="16"/>
  <c r="G90" i="16"/>
  <c r="G92" i="16"/>
  <c r="G93" i="16"/>
  <c r="G94" i="16"/>
  <c r="G95" i="16"/>
  <c r="G96" i="16"/>
  <c r="D87" i="15"/>
  <c r="E87" i="15"/>
  <c r="G87" i="15"/>
  <c r="H87" i="15"/>
  <c r="I87" i="15"/>
  <c r="D88" i="15"/>
  <c r="F88" i="15"/>
  <c r="G88" i="15"/>
  <c r="H88" i="15"/>
  <c r="I88" i="15"/>
  <c r="D89" i="15"/>
  <c r="E89" i="15"/>
  <c r="F89" i="15"/>
  <c r="G89" i="15"/>
  <c r="H89" i="15"/>
  <c r="I89" i="15"/>
  <c r="D90" i="15"/>
  <c r="E90" i="15"/>
  <c r="F90" i="15"/>
  <c r="G90" i="15"/>
  <c r="I90" i="15"/>
  <c r="D91" i="15"/>
  <c r="E91" i="15"/>
  <c r="F91" i="15"/>
  <c r="G91" i="15"/>
  <c r="H91" i="15"/>
  <c r="E92" i="15"/>
  <c r="F92" i="15"/>
  <c r="G92" i="15"/>
  <c r="H92" i="15"/>
  <c r="I92" i="15"/>
  <c r="E93" i="15"/>
  <c r="F93" i="15"/>
  <c r="G93" i="15"/>
  <c r="H93" i="15"/>
  <c r="I93" i="15"/>
  <c r="E94" i="15"/>
  <c r="F94" i="15"/>
  <c r="G94" i="15"/>
  <c r="H94" i="15"/>
  <c r="I94" i="15"/>
  <c r="D95" i="15"/>
  <c r="E95" i="15"/>
  <c r="F95" i="15"/>
  <c r="G95" i="15"/>
  <c r="H95" i="15"/>
  <c r="I95" i="15"/>
  <c r="D96" i="15"/>
  <c r="E96" i="15"/>
  <c r="F96" i="15"/>
  <c r="G96" i="15"/>
  <c r="H96" i="15"/>
  <c r="I96" i="15"/>
  <c r="D97" i="15"/>
  <c r="E97" i="15"/>
  <c r="F97" i="15"/>
  <c r="G97" i="15"/>
  <c r="H97" i="15"/>
  <c r="I97" i="15"/>
  <c r="C88" i="15"/>
  <c r="C89" i="15"/>
  <c r="C90" i="15"/>
  <c r="C91" i="15"/>
  <c r="C92" i="15"/>
  <c r="C93" i="15"/>
  <c r="C94" i="15"/>
  <c r="C95" i="15"/>
  <c r="C96" i="15"/>
  <c r="C97" i="15"/>
  <c r="C87" i="15"/>
  <c r="C83" i="14" l="1"/>
  <c r="C96" i="14" s="1"/>
  <c r="E109" i="20" l="1"/>
  <c r="E109" i="19"/>
  <c r="E109" i="18"/>
  <c r="L108" i="18"/>
  <c r="E109" i="17"/>
  <c r="L108" i="17"/>
  <c r="E109" i="16"/>
  <c r="L108" i="16"/>
  <c r="M108" i="16" s="1"/>
  <c r="G134" i="16"/>
  <c r="H134" i="17"/>
  <c r="H134" i="18"/>
  <c r="J210" i="15"/>
  <c r="J209" i="15"/>
  <c r="J208" i="15"/>
  <c r="J207" i="15"/>
  <c r="I201" i="15"/>
  <c r="H201" i="15"/>
  <c r="G201" i="15"/>
  <c r="F201" i="15"/>
  <c r="E201" i="15"/>
  <c r="D201" i="15"/>
  <c r="J200" i="15"/>
  <c r="J199" i="15"/>
  <c r="J198" i="15"/>
  <c r="J197" i="15"/>
  <c r="C195" i="15"/>
  <c r="J195" i="15" s="1"/>
  <c r="J194" i="15"/>
  <c r="C193" i="15"/>
  <c r="J193" i="15" s="1"/>
  <c r="C192" i="15"/>
  <c r="J192" i="15" s="1"/>
  <c r="J191" i="15"/>
  <c r="C190" i="15"/>
  <c r="J190" i="15" s="1"/>
  <c r="J189" i="15"/>
  <c r="I189" i="15"/>
  <c r="H189" i="15"/>
  <c r="F189" i="15"/>
  <c r="E189" i="15"/>
  <c r="D189" i="15"/>
  <c r="C189" i="15"/>
  <c r="I188" i="15"/>
  <c r="G188" i="15"/>
  <c r="E188" i="15"/>
  <c r="J187" i="15"/>
  <c r="J186" i="15"/>
  <c r="J185" i="15"/>
  <c r="J184" i="15"/>
  <c r="J183" i="15"/>
  <c r="J181" i="15"/>
  <c r="J180" i="15"/>
  <c r="I177" i="15"/>
  <c r="H177" i="15"/>
  <c r="G177" i="15"/>
  <c r="F177" i="15"/>
  <c r="E177" i="15"/>
  <c r="D177" i="15"/>
  <c r="C176" i="15"/>
  <c r="J176" i="15" s="1"/>
  <c r="C175" i="15"/>
  <c r="J175" i="15" s="1"/>
  <c r="J174" i="15"/>
  <c r="C174" i="15"/>
  <c r="I172" i="15"/>
  <c r="H172" i="15"/>
  <c r="G172" i="15"/>
  <c r="F172" i="15"/>
  <c r="E172" i="15"/>
  <c r="D172" i="15"/>
  <c r="C172" i="15"/>
  <c r="J171" i="15"/>
  <c r="J170" i="15"/>
  <c r="J169" i="15"/>
  <c r="J168" i="15"/>
  <c r="J167" i="15"/>
  <c r="J166" i="15"/>
  <c r="J165" i="15"/>
  <c r="J164" i="15"/>
  <c r="I164" i="15"/>
  <c r="H164" i="15"/>
  <c r="G164" i="15"/>
  <c r="F164" i="15"/>
  <c r="E164" i="15"/>
  <c r="D164" i="15"/>
  <c r="C164" i="15"/>
  <c r="G163" i="15"/>
  <c r="G162" i="15"/>
  <c r="J161" i="15"/>
  <c r="J160" i="15"/>
  <c r="J158" i="15"/>
  <c r="J156" i="15"/>
  <c r="J155" i="15"/>
  <c r="J152" i="15"/>
  <c r="E151" i="15"/>
  <c r="J150" i="15"/>
  <c r="I148" i="15"/>
  <c r="H148" i="15"/>
  <c r="F148" i="15"/>
  <c r="D148" i="15"/>
  <c r="J147" i="15"/>
  <c r="C146" i="15"/>
  <c r="J141" i="15"/>
  <c r="G141" i="15"/>
  <c r="G148" i="15" s="1"/>
  <c r="J140" i="15"/>
  <c r="J139" i="15"/>
  <c r="J137" i="15"/>
  <c r="I137" i="15"/>
  <c r="H137" i="15"/>
  <c r="G137" i="15"/>
  <c r="F137" i="15"/>
  <c r="E137" i="15"/>
  <c r="D137" i="15"/>
  <c r="C137" i="15"/>
  <c r="J133" i="15"/>
  <c r="J132" i="15"/>
  <c r="I131" i="15"/>
  <c r="I135" i="15" s="1"/>
  <c r="I127" i="15"/>
  <c r="H127" i="15"/>
  <c r="G127" i="15"/>
  <c r="F127" i="15"/>
  <c r="J126" i="15"/>
  <c r="F125" i="15"/>
  <c r="E125" i="15"/>
  <c r="E127" i="15" s="1"/>
  <c r="D125" i="15"/>
  <c r="D127" i="15" s="1"/>
  <c r="C125" i="15"/>
  <c r="J125" i="15" s="1"/>
  <c r="J123" i="15"/>
  <c r="J122" i="15"/>
  <c r="J121" i="15"/>
  <c r="J120" i="15"/>
  <c r="J119" i="15"/>
  <c r="J118" i="15"/>
  <c r="J117" i="15"/>
  <c r="I115" i="15"/>
  <c r="I128" i="15" s="1"/>
  <c r="I136" i="15" s="1"/>
  <c r="G115" i="15"/>
  <c r="J114" i="15"/>
  <c r="C113" i="15"/>
  <c r="J113" i="15" s="1"/>
  <c r="H112" i="15"/>
  <c r="F112" i="15"/>
  <c r="E112" i="15"/>
  <c r="D112" i="15"/>
  <c r="C112" i="15"/>
  <c r="C111" i="15"/>
  <c r="J111" i="15" s="1"/>
  <c r="J110" i="15"/>
  <c r="H109" i="15"/>
  <c r="H115" i="15" s="1"/>
  <c r="H128" i="15" s="1"/>
  <c r="F109" i="15"/>
  <c r="F115" i="15" s="1"/>
  <c r="E109" i="15"/>
  <c r="E115" i="15" s="1"/>
  <c r="E128" i="15" s="1"/>
  <c r="E130" i="15" s="1"/>
  <c r="D109" i="15"/>
  <c r="C109" i="15"/>
  <c r="C108" i="15"/>
  <c r="J108" i="15" s="1"/>
  <c r="J107" i="15"/>
  <c r="J106" i="15"/>
  <c r="J105" i="15"/>
  <c r="J104" i="15"/>
  <c r="J103" i="15"/>
  <c r="J102" i="15"/>
  <c r="J100" i="15"/>
  <c r="I100" i="15"/>
  <c r="H100" i="15"/>
  <c r="G100" i="15"/>
  <c r="F100" i="15"/>
  <c r="E100" i="15"/>
  <c r="D100" i="15"/>
  <c r="C100" i="15"/>
  <c r="J97" i="15"/>
  <c r="J95" i="15"/>
  <c r="J89" i="15"/>
  <c r="G85" i="15"/>
  <c r="J84" i="15"/>
  <c r="J83" i="15"/>
  <c r="J82" i="15"/>
  <c r="J81" i="15"/>
  <c r="D81" i="15"/>
  <c r="D94" i="15" s="1"/>
  <c r="J94" i="15" s="1"/>
  <c r="D80" i="15"/>
  <c r="D93" i="15" s="1"/>
  <c r="D79" i="15"/>
  <c r="D92" i="15" s="1"/>
  <c r="D98" i="15" s="1"/>
  <c r="I78" i="15"/>
  <c r="J76" i="15"/>
  <c r="E75" i="15"/>
  <c r="E88" i="15" s="1"/>
  <c r="J72" i="15"/>
  <c r="I72" i="15"/>
  <c r="H72" i="15"/>
  <c r="G72" i="15"/>
  <c r="F72" i="15"/>
  <c r="E72" i="15"/>
  <c r="D72" i="15"/>
  <c r="C72" i="15"/>
  <c r="H61" i="15"/>
  <c r="H64" i="15" s="1"/>
  <c r="G61" i="15"/>
  <c r="G64" i="15" s="1"/>
  <c r="F61" i="15"/>
  <c r="F64" i="15" s="1"/>
  <c r="E61" i="15"/>
  <c r="E64" i="15" s="1"/>
  <c r="D61" i="15"/>
  <c r="D64" i="15" s="1"/>
  <c r="C61" i="15"/>
  <c r="C64" i="15" s="1"/>
  <c r="J60" i="15"/>
  <c r="J59" i="15"/>
  <c r="J58" i="15"/>
  <c r="J57" i="15"/>
  <c r="J56" i="15"/>
  <c r="J55" i="15"/>
  <c r="J54" i="15"/>
  <c r="J53" i="15"/>
  <c r="J52" i="15"/>
  <c r="J51" i="15"/>
  <c r="J50" i="15"/>
  <c r="J49" i="15"/>
  <c r="J48" i="15"/>
  <c r="J47" i="15"/>
  <c r="J46" i="15"/>
  <c r="J45" i="15"/>
  <c r="J44" i="15"/>
  <c r="J43" i="15"/>
  <c r="J42" i="15"/>
  <c r="J41" i="15"/>
  <c r="J39" i="15"/>
  <c r="I39" i="15"/>
  <c r="H39" i="15"/>
  <c r="G39" i="15"/>
  <c r="F39" i="15"/>
  <c r="E39" i="15"/>
  <c r="D39" i="15"/>
  <c r="C39" i="15"/>
  <c r="H37" i="15"/>
  <c r="H134" i="15" s="1"/>
  <c r="G37" i="15"/>
  <c r="G63" i="15" s="1"/>
  <c r="F37" i="15"/>
  <c r="E37" i="15"/>
  <c r="E63" i="15" s="1"/>
  <c r="D37" i="15"/>
  <c r="D134" i="15" s="1"/>
  <c r="C37" i="15"/>
  <c r="C63" i="15" s="1"/>
  <c r="J36" i="15"/>
  <c r="J35" i="15"/>
  <c r="J34" i="15"/>
  <c r="J33" i="15"/>
  <c r="J32" i="15"/>
  <c r="J31" i="15"/>
  <c r="J30" i="15"/>
  <c r="J29" i="15"/>
  <c r="J25" i="15"/>
  <c r="J24" i="15"/>
  <c r="H19" i="15"/>
  <c r="F19" i="15"/>
  <c r="E19" i="15"/>
  <c r="D19" i="15"/>
  <c r="C19" i="15"/>
  <c r="J18" i="15"/>
  <c r="J17" i="15"/>
  <c r="J16" i="15"/>
  <c r="J15" i="15"/>
  <c r="J14" i="15"/>
  <c r="J13" i="15"/>
  <c r="J12" i="15"/>
  <c r="J11" i="15"/>
  <c r="J10" i="15"/>
  <c r="J9" i="15"/>
  <c r="J8" i="15"/>
  <c r="J7" i="15"/>
  <c r="J6" i="15"/>
  <c r="C5" i="15"/>
  <c r="J2" i="15"/>
  <c r="J177" i="15" l="1"/>
  <c r="I91" i="15"/>
  <c r="J19" i="15"/>
  <c r="J78" i="15"/>
  <c r="G128" i="15"/>
  <c r="C177" i="15"/>
  <c r="D63" i="15"/>
  <c r="D65" i="15" s="1"/>
  <c r="J79" i="15"/>
  <c r="J112" i="15"/>
  <c r="J127" i="15"/>
  <c r="J172" i="15"/>
  <c r="C153" i="15"/>
  <c r="J153" i="15" s="1"/>
  <c r="C205" i="15"/>
  <c r="J205" i="15" s="1"/>
  <c r="C206" i="15"/>
  <c r="J206" i="15" s="1"/>
  <c r="H63" i="15"/>
  <c r="H65" i="15" s="1"/>
  <c r="I85" i="15"/>
  <c r="D115" i="15"/>
  <c r="E65" i="15"/>
  <c r="J80" i="15"/>
  <c r="F128" i="15"/>
  <c r="F129" i="15" s="1"/>
  <c r="E134" i="15"/>
  <c r="C65" i="15"/>
  <c r="C154" i="15" s="1"/>
  <c r="J61" i="15"/>
  <c r="J64" i="15" s="1"/>
  <c r="G65" i="15"/>
  <c r="E85" i="15"/>
  <c r="J75" i="15"/>
  <c r="E98" i="15"/>
  <c r="C196" i="15"/>
  <c r="J196" i="15" s="1"/>
  <c r="J201" i="15" s="1"/>
  <c r="J5" i="15"/>
  <c r="C86" i="15"/>
  <c r="J92" i="15"/>
  <c r="J109" i="15"/>
  <c r="H130" i="15"/>
  <c r="H129" i="15"/>
  <c r="F63" i="15"/>
  <c r="F65" i="15" s="1"/>
  <c r="F134" i="15"/>
  <c r="J88" i="15"/>
  <c r="E129" i="15"/>
  <c r="J151" i="15"/>
  <c r="J37" i="15"/>
  <c r="J63" i="15" s="1"/>
  <c r="J96" i="15"/>
  <c r="G129" i="15"/>
  <c r="E154" i="15"/>
  <c r="E163" i="15" s="1"/>
  <c r="E131" i="15"/>
  <c r="C73" i="15"/>
  <c r="J93" i="15"/>
  <c r="J115" i="15"/>
  <c r="J128" i="15" s="1"/>
  <c r="J69" i="15" s="1"/>
  <c r="D128" i="15"/>
  <c r="C115" i="15"/>
  <c r="E22" i="15"/>
  <c r="D26" i="15" s="1"/>
  <c r="J26" i="15" s="1"/>
  <c r="D85" i="15"/>
  <c r="C127" i="15"/>
  <c r="C138" i="15"/>
  <c r="C143" i="15"/>
  <c r="J143" i="15" s="1"/>
  <c r="C145" i="15"/>
  <c r="J145" i="15" s="1"/>
  <c r="C157" i="15"/>
  <c r="J157" i="15" s="1"/>
  <c r="F179" i="15"/>
  <c r="F74" i="15"/>
  <c r="F87" i="15" s="1"/>
  <c r="C134" i="15"/>
  <c r="G134" i="15"/>
  <c r="D23" i="15"/>
  <c r="J23" i="15" s="1"/>
  <c r="H77" i="15"/>
  <c r="H90" i="15" s="1"/>
  <c r="C142" i="15"/>
  <c r="J142" i="15" s="1"/>
  <c r="C144" i="15"/>
  <c r="J144" i="15" s="1"/>
  <c r="F130" i="15" l="1"/>
  <c r="I98" i="15"/>
  <c r="J91" i="15"/>
  <c r="I162" i="15"/>
  <c r="I163" i="15" s="1"/>
  <c r="I203" i="15" s="1"/>
  <c r="I211" i="15" s="1"/>
  <c r="I212" i="15" s="1"/>
  <c r="J134" i="15"/>
  <c r="D129" i="15"/>
  <c r="D130" i="15"/>
  <c r="C131" i="15"/>
  <c r="J131" i="15" s="1"/>
  <c r="J65" i="15"/>
  <c r="C182" i="15" s="1"/>
  <c r="C188" i="15" s="1"/>
  <c r="C98" i="15"/>
  <c r="J86" i="15"/>
  <c r="C159" i="15"/>
  <c r="J159" i="15" s="1"/>
  <c r="C162" i="15"/>
  <c r="J162" i="15" s="1"/>
  <c r="F85" i="15"/>
  <c r="J74" i="15"/>
  <c r="H182" i="15"/>
  <c r="H188" i="15" s="1"/>
  <c r="H154" i="15"/>
  <c r="H163" i="15" s="1"/>
  <c r="H131" i="15"/>
  <c r="D182" i="15"/>
  <c r="D188" i="15" s="1"/>
  <c r="D154" i="15"/>
  <c r="D163" i="15" s="1"/>
  <c r="D131" i="15"/>
  <c r="J22" i="15"/>
  <c r="E146" i="15"/>
  <c r="J73" i="15"/>
  <c r="C85" i="15"/>
  <c r="J68" i="15"/>
  <c r="C128" i="15"/>
  <c r="H135" i="15"/>
  <c r="H136" i="15" s="1"/>
  <c r="G130" i="15"/>
  <c r="G135" i="15"/>
  <c r="G136" i="15" s="1"/>
  <c r="G203" i="15" s="1"/>
  <c r="G211" i="15" s="1"/>
  <c r="G212" i="15" s="1"/>
  <c r="C201" i="15"/>
  <c r="H85" i="15"/>
  <c r="J77" i="15"/>
  <c r="J179" i="15"/>
  <c r="F188" i="15"/>
  <c r="C148" i="15"/>
  <c r="J138" i="15"/>
  <c r="E135" i="15"/>
  <c r="E136" i="15" s="1"/>
  <c r="F154" i="15"/>
  <c r="F163" i="15" s="1"/>
  <c r="F131" i="15"/>
  <c r="F135" i="15" s="1"/>
  <c r="F136" i="15" s="1"/>
  <c r="I43" i="14"/>
  <c r="C103" i="17"/>
  <c r="K103" i="14"/>
  <c r="H203" i="15" l="1"/>
  <c r="D135" i="15"/>
  <c r="D136" i="15" s="1"/>
  <c r="J154" i="15"/>
  <c r="F203" i="15"/>
  <c r="J163" i="15"/>
  <c r="E148" i="15"/>
  <c r="E203" i="15" s="1"/>
  <c r="E211" i="15" s="1"/>
  <c r="E212" i="15" s="1"/>
  <c r="J146" i="15"/>
  <c r="J148" i="15" s="1"/>
  <c r="F211" i="15"/>
  <c r="F212" i="15" s="1"/>
  <c r="H211" i="15"/>
  <c r="H212" i="15" s="1"/>
  <c r="H98" i="15"/>
  <c r="J90" i="15"/>
  <c r="F98" i="15"/>
  <c r="J87" i="15"/>
  <c r="C130" i="15"/>
  <c r="J130" i="15" s="1"/>
  <c r="C129" i="15"/>
  <c r="J182" i="15"/>
  <c r="J188" i="15" s="1"/>
  <c r="C163" i="15"/>
  <c r="D203" i="15"/>
  <c r="D211" i="15" s="1"/>
  <c r="D212" i="15" s="1"/>
  <c r="J85" i="15"/>
  <c r="I132" i="20"/>
  <c r="I132" i="19"/>
  <c r="I132" i="18"/>
  <c r="I132" i="17"/>
  <c r="H131" i="18"/>
  <c r="H131" i="17"/>
  <c r="J98" i="15" l="1"/>
  <c r="J70" i="15" s="1"/>
  <c r="J129" i="15"/>
  <c r="J135" i="15" s="1"/>
  <c r="J136" i="15" s="1"/>
  <c r="C135" i="15"/>
  <c r="C136" i="15" s="1"/>
  <c r="C203" i="15" s="1"/>
  <c r="C211" i="15" s="1"/>
  <c r="C212" i="15" s="1"/>
  <c r="D57" i="21"/>
  <c r="P1" i="21"/>
  <c r="M1" i="21"/>
  <c r="N1" i="21"/>
  <c r="O1" i="21"/>
  <c r="L1" i="21"/>
  <c r="D105" i="17"/>
  <c r="G158" i="16"/>
  <c r="C96" i="16"/>
  <c r="G141" i="16"/>
  <c r="D147" i="21"/>
  <c r="B97" i="15"/>
  <c r="B96" i="15"/>
  <c r="B95" i="15"/>
  <c r="B94" i="15"/>
  <c r="B93" i="15"/>
  <c r="B92" i="15"/>
  <c r="B89" i="15"/>
  <c r="B88" i="15"/>
  <c r="B87" i="15"/>
  <c r="D59" i="21"/>
  <c r="D58" i="21"/>
  <c r="D56" i="21"/>
  <c r="C183" i="21"/>
  <c r="C184" i="21"/>
  <c r="C185" i="21"/>
  <c r="C171" i="21"/>
  <c r="C160" i="21"/>
  <c r="C143" i="21"/>
  <c r="C144" i="21"/>
  <c r="C145" i="21"/>
  <c r="D135" i="14"/>
  <c r="E135" i="14"/>
  <c r="F135" i="14"/>
  <c r="G135" i="14"/>
  <c r="H135" i="14"/>
  <c r="D148" i="14"/>
  <c r="E148" i="14"/>
  <c r="F148" i="14"/>
  <c r="G148" i="14"/>
  <c r="H148" i="14"/>
  <c r="G163" i="14"/>
  <c r="G172" i="14"/>
  <c r="G177" i="14"/>
  <c r="G188" i="14"/>
  <c r="I131" i="14"/>
  <c r="I132" i="14"/>
  <c r="I133" i="14"/>
  <c r="I103" i="14"/>
  <c r="I104" i="14"/>
  <c r="I106" i="14"/>
  <c r="I107" i="14"/>
  <c r="I109" i="14"/>
  <c r="I110" i="14"/>
  <c r="I113" i="14"/>
  <c r="I114" i="14"/>
  <c r="I139" i="14"/>
  <c r="C139" i="21" s="1"/>
  <c r="I141" i="14"/>
  <c r="C141" i="21" s="1"/>
  <c r="I142" i="14"/>
  <c r="C142" i="21" s="1"/>
  <c r="I143" i="14"/>
  <c r="I144" i="14"/>
  <c r="I145" i="14"/>
  <c r="I147" i="14"/>
  <c r="C147" i="21" s="1"/>
  <c r="I152" i="14"/>
  <c r="C152" i="21" s="1"/>
  <c r="I154" i="14"/>
  <c r="C154" i="21" s="1"/>
  <c r="I155" i="14"/>
  <c r="C155" i="21" s="1"/>
  <c r="I156" i="14"/>
  <c r="C156" i="21" s="1"/>
  <c r="I157" i="14"/>
  <c r="C157" i="21" s="1"/>
  <c r="I158" i="14"/>
  <c r="C158" i="21" s="1"/>
  <c r="I160" i="14"/>
  <c r="I161" i="14"/>
  <c r="C161" i="21" s="1"/>
  <c r="I162" i="14"/>
  <c r="I166" i="14"/>
  <c r="C166" i="21" s="1"/>
  <c r="I167" i="14"/>
  <c r="C167" i="21" s="1"/>
  <c r="I168" i="14"/>
  <c r="C168" i="21" s="1"/>
  <c r="I169" i="14"/>
  <c r="C169" i="21" s="1"/>
  <c r="I170" i="14"/>
  <c r="C170" i="21" s="1"/>
  <c r="I171" i="14"/>
  <c r="I180" i="14"/>
  <c r="C180" i="21" s="1"/>
  <c r="I181" i="14"/>
  <c r="C181" i="21" s="1"/>
  <c r="I182" i="14"/>
  <c r="C182" i="21" s="1"/>
  <c r="I183" i="14"/>
  <c r="I184" i="14"/>
  <c r="I185" i="14"/>
  <c r="I186" i="14"/>
  <c r="C186" i="21" s="1"/>
  <c r="I187" i="14"/>
  <c r="J203" i="15" l="1"/>
  <c r="J211" i="15" s="1"/>
  <c r="J212" i="15" s="1"/>
  <c r="J67" i="15" l="1"/>
  <c r="C140" i="14"/>
  <c r="I140" i="14" s="1"/>
  <c r="C140" i="21" s="1"/>
  <c r="G72" i="14" l="1"/>
  <c r="G101" i="14"/>
  <c r="G115" i="14"/>
  <c r="G128" i="14" s="1"/>
  <c r="G136" i="14" s="1"/>
  <c r="G127" i="14"/>
  <c r="G213" i="14"/>
  <c r="G201" i="14"/>
  <c r="G203" i="14" s="1"/>
  <c r="G211" i="14" s="1"/>
  <c r="G189" i="14"/>
  <c r="G164" i="14"/>
  <c r="G137" i="14"/>
  <c r="G60" i="14"/>
  <c r="G63" i="14" s="1"/>
  <c r="G39" i="14"/>
  <c r="G37" i="14"/>
  <c r="G62" i="14" s="1"/>
  <c r="G64" i="14" l="1"/>
  <c r="G212" i="14"/>
  <c r="C195" i="18" l="1"/>
  <c r="D55" i="21"/>
  <c r="C146" i="20"/>
  <c r="C146" i="19"/>
  <c r="C146" i="18"/>
  <c r="C146" i="17"/>
  <c r="C146" i="16"/>
  <c r="I141" i="20"/>
  <c r="I141" i="19"/>
  <c r="H141" i="21" s="1"/>
  <c r="I141" i="18"/>
  <c r="I141" i="17"/>
  <c r="F141" i="21" s="1"/>
  <c r="G141" i="21"/>
  <c r="I141" i="21"/>
  <c r="C103" i="18"/>
  <c r="D105" i="18"/>
  <c r="E105" i="18"/>
  <c r="F105" i="18"/>
  <c r="G105" i="18"/>
  <c r="E106" i="18"/>
  <c r="F106" i="18"/>
  <c r="G106" i="18"/>
  <c r="D107" i="18"/>
  <c r="E107" i="18"/>
  <c r="F107" i="18"/>
  <c r="G107" i="18"/>
  <c r="C105" i="17"/>
  <c r="C105" i="18" s="1"/>
  <c r="D106" i="17"/>
  <c r="D106" i="18" s="1"/>
  <c r="D106" i="16"/>
  <c r="E106" i="16"/>
  <c r="F106" i="16"/>
  <c r="D107" i="16"/>
  <c r="E107" i="16"/>
  <c r="F107" i="16"/>
  <c r="G107" i="16"/>
  <c r="C107" i="16"/>
  <c r="C107" i="17" s="1"/>
  <c r="C107" i="18" s="1"/>
  <c r="C106" i="16"/>
  <c r="C106" i="17" s="1"/>
  <c r="C106" i="18" s="1"/>
  <c r="C104" i="16"/>
  <c r="C104" i="18" s="1"/>
  <c r="C102" i="16"/>
  <c r="C102" i="17" s="1"/>
  <c r="C102" i="18" s="1"/>
  <c r="G213" i="15"/>
  <c r="C195" i="20"/>
  <c r="C195" i="19"/>
  <c r="C195" i="17"/>
  <c r="C195" i="16"/>
  <c r="C191" i="16" l="1"/>
  <c r="C191" i="17" s="1"/>
  <c r="C191" i="18" s="1"/>
  <c r="C191" i="19" s="1"/>
  <c r="C191" i="20" s="1"/>
  <c r="C205" i="21"/>
  <c r="E205" i="21"/>
  <c r="F205" i="21"/>
  <c r="G205" i="21"/>
  <c r="H205" i="21"/>
  <c r="I205" i="21"/>
  <c r="H201" i="20"/>
  <c r="G201" i="20"/>
  <c r="F201" i="20"/>
  <c r="E201" i="20"/>
  <c r="D201" i="20"/>
  <c r="H201" i="19"/>
  <c r="G201" i="19"/>
  <c r="F201" i="19"/>
  <c r="E201" i="19"/>
  <c r="D201" i="19"/>
  <c r="H188" i="20"/>
  <c r="G188" i="20"/>
  <c r="E188" i="20"/>
  <c r="D188" i="20"/>
  <c r="H188" i="19"/>
  <c r="G188" i="19"/>
  <c r="E188" i="19"/>
  <c r="D188" i="19"/>
  <c r="H177" i="20"/>
  <c r="G177" i="20"/>
  <c r="F177" i="20"/>
  <c r="E177" i="20"/>
  <c r="D177" i="20"/>
  <c r="H177" i="19"/>
  <c r="G177" i="19"/>
  <c r="F177" i="19"/>
  <c r="E177" i="19"/>
  <c r="D177" i="19"/>
  <c r="H172" i="20"/>
  <c r="G172" i="20"/>
  <c r="F172" i="20"/>
  <c r="E172" i="20"/>
  <c r="D172" i="20"/>
  <c r="H172" i="19"/>
  <c r="G172" i="19"/>
  <c r="F172" i="19"/>
  <c r="E172" i="19"/>
  <c r="D172" i="19"/>
  <c r="H148" i="20"/>
  <c r="G148" i="20"/>
  <c r="F148" i="20"/>
  <c r="D148" i="20"/>
  <c r="H148" i="19"/>
  <c r="G148" i="19"/>
  <c r="F148" i="19"/>
  <c r="D148" i="19"/>
  <c r="C137" i="19"/>
  <c r="D137" i="19"/>
  <c r="E137" i="19"/>
  <c r="F137" i="19"/>
  <c r="G137" i="19"/>
  <c r="H137" i="19"/>
  <c r="I137" i="19"/>
  <c r="H127" i="20"/>
  <c r="G127" i="20"/>
  <c r="H127" i="19"/>
  <c r="G127" i="19"/>
  <c r="I116" i="20"/>
  <c r="H116" i="20"/>
  <c r="G116" i="20"/>
  <c r="F116" i="20"/>
  <c r="E116" i="20"/>
  <c r="D116" i="20"/>
  <c r="C116" i="20"/>
  <c r="H115" i="20"/>
  <c r="I116" i="19"/>
  <c r="H116" i="19"/>
  <c r="G116" i="19"/>
  <c r="F116" i="19"/>
  <c r="E116" i="19"/>
  <c r="D116" i="19"/>
  <c r="C116" i="19"/>
  <c r="H115" i="19"/>
  <c r="H201" i="18"/>
  <c r="G201" i="18"/>
  <c r="F201" i="18"/>
  <c r="E201" i="18"/>
  <c r="D201" i="18"/>
  <c r="H188" i="18"/>
  <c r="G188" i="18"/>
  <c r="E188" i="18"/>
  <c r="D188" i="18"/>
  <c r="H177" i="18"/>
  <c r="G177" i="18"/>
  <c r="F177" i="18"/>
  <c r="E177" i="18"/>
  <c r="D177" i="18"/>
  <c r="H172" i="18"/>
  <c r="G172" i="18"/>
  <c r="F172" i="18"/>
  <c r="E172" i="18"/>
  <c r="D172" i="18"/>
  <c r="H148" i="18"/>
  <c r="G148" i="18"/>
  <c r="F148" i="18"/>
  <c r="D148" i="18"/>
  <c r="H127" i="18"/>
  <c r="H128" i="18" s="1"/>
  <c r="G127" i="18"/>
  <c r="I116" i="18"/>
  <c r="H116" i="18"/>
  <c r="G116" i="18"/>
  <c r="F116" i="18"/>
  <c r="E116" i="18"/>
  <c r="D116" i="18"/>
  <c r="C116" i="18"/>
  <c r="H115" i="18"/>
  <c r="G201" i="17"/>
  <c r="H201" i="17"/>
  <c r="F201" i="17"/>
  <c r="E201" i="17"/>
  <c r="D201" i="17"/>
  <c r="G188" i="17"/>
  <c r="H188" i="17"/>
  <c r="E188" i="17"/>
  <c r="D188" i="17"/>
  <c r="G177" i="17"/>
  <c r="H177" i="17"/>
  <c r="F177" i="17"/>
  <c r="E177" i="17"/>
  <c r="D177" i="17"/>
  <c r="G172" i="17"/>
  <c r="H172" i="17"/>
  <c r="F172" i="17"/>
  <c r="E172" i="17"/>
  <c r="D172" i="17"/>
  <c r="G148" i="17"/>
  <c r="H148" i="17"/>
  <c r="F148" i="17"/>
  <c r="D148" i="17"/>
  <c r="G127" i="17"/>
  <c r="H127" i="17"/>
  <c r="H115" i="17"/>
  <c r="H128" i="17" s="1"/>
  <c r="D116" i="17"/>
  <c r="E116" i="17"/>
  <c r="F116" i="17"/>
  <c r="G116" i="17"/>
  <c r="H116" i="17"/>
  <c r="I116" i="17"/>
  <c r="C116" i="17"/>
  <c r="J124" i="16"/>
  <c r="J139" i="16"/>
  <c r="E139" i="21" s="1"/>
  <c r="J140" i="16"/>
  <c r="E140" i="21" s="1"/>
  <c r="J141" i="16"/>
  <c r="E141" i="21" s="1"/>
  <c r="J147" i="16"/>
  <c r="E147" i="21" s="1"/>
  <c r="J152" i="16"/>
  <c r="J155" i="16"/>
  <c r="J156" i="16"/>
  <c r="J158" i="16"/>
  <c r="J160" i="16"/>
  <c r="J161" i="16"/>
  <c r="J181" i="16"/>
  <c r="J183" i="16"/>
  <c r="J184" i="16"/>
  <c r="J185" i="16"/>
  <c r="J186" i="16"/>
  <c r="G98" i="16"/>
  <c r="G85" i="16"/>
  <c r="G148" i="16"/>
  <c r="G213" i="16"/>
  <c r="H213" i="16"/>
  <c r="I213" i="16"/>
  <c r="J213" i="16"/>
  <c r="G189" i="16"/>
  <c r="H189" i="16"/>
  <c r="I189" i="16"/>
  <c r="G164" i="16"/>
  <c r="G116" i="16"/>
  <c r="G137" i="16"/>
  <c r="G39" i="16"/>
  <c r="G72" i="16"/>
  <c r="I201" i="16"/>
  <c r="H201" i="16"/>
  <c r="G201" i="16"/>
  <c r="F201" i="16"/>
  <c r="E201" i="16"/>
  <c r="D201" i="16"/>
  <c r="I188" i="16"/>
  <c r="H188" i="16"/>
  <c r="G188" i="16"/>
  <c r="E188" i="16"/>
  <c r="D188" i="16"/>
  <c r="I177" i="16"/>
  <c r="H177" i="16"/>
  <c r="G177" i="16"/>
  <c r="F177" i="16"/>
  <c r="E177" i="16"/>
  <c r="D177" i="16"/>
  <c r="I172" i="16"/>
  <c r="H172" i="16"/>
  <c r="G172" i="16"/>
  <c r="F172" i="16"/>
  <c r="E172" i="16"/>
  <c r="D172" i="16"/>
  <c r="G163" i="16"/>
  <c r="I148" i="16"/>
  <c r="H148" i="16"/>
  <c r="F148" i="16"/>
  <c r="D148" i="16"/>
  <c r="I127" i="16"/>
  <c r="H127" i="16"/>
  <c r="G127" i="16"/>
  <c r="I115" i="16"/>
  <c r="G115" i="16"/>
  <c r="I100" i="20"/>
  <c r="H100" i="20"/>
  <c r="G100" i="20"/>
  <c r="F100" i="20"/>
  <c r="E100" i="20"/>
  <c r="D100" i="20"/>
  <c r="C100" i="20"/>
  <c r="I100" i="19"/>
  <c r="H100" i="19"/>
  <c r="G100" i="19"/>
  <c r="F100" i="19"/>
  <c r="E100" i="19"/>
  <c r="D100" i="19"/>
  <c r="C100" i="19"/>
  <c r="I100" i="18"/>
  <c r="H100" i="18"/>
  <c r="G100" i="18"/>
  <c r="F100" i="18"/>
  <c r="E100" i="18"/>
  <c r="D100" i="18"/>
  <c r="C100" i="18"/>
  <c r="G100" i="17"/>
  <c r="H100" i="17"/>
  <c r="I100" i="17"/>
  <c r="F100" i="17"/>
  <c r="E100" i="17"/>
  <c r="D100" i="17"/>
  <c r="C100" i="17"/>
  <c r="J100" i="16"/>
  <c r="I100" i="16"/>
  <c r="H100" i="16"/>
  <c r="G100" i="16"/>
  <c r="F100" i="16"/>
  <c r="E100" i="16"/>
  <c r="D100" i="16"/>
  <c r="C100" i="16"/>
  <c r="D205" i="21"/>
  <c r="D123" i="21"/>
  <c r="H128" i="19" l="1"/>
  <c r="H128" i="20"/>
  <c r="C192" i="16"/>
  <c r="C192" i="17" s="1"/>
  <c r="C192" i="18" s="1"/>
  <c r="C192" i="19" s="1"/>
  <c r="C192" i="20" s="1"/>
  <c r="C193" i="16"/>
  <c r="C193" i="17" s="1"/>
  <c r="C193" i="18" s="1"/>
  <c r="C193" i="19" s="1"/>
  <c r="C193" i="20" s="1"/>
  <c r="C110" i="16"/>
  <c r="C110" i="17" s="1"/>
  <c r="C110" i="18" s="1"/>
  <c r="C110" i="19" s="1"/>
  <c r="C110" i="20" s="1"/>
  <c r="C190" i="16"/>
  <c r="I128" i="16"/>
  <c r="G128" i="16"/>
  <c r="D141" i="21"/>
  <c r="C190" i="17" l="1"/>
  <c r="G129" i="16"/>
  <c r="D79" i="16" l="1"/>
  <c r="E76" i="16"/>
  <c r="C190" i="18"/>
  <c r="C190" i="19" s="1"/>
  <c r="C190" i="20" s="1"/>
  <c r="G130" i="16"/>
  <c r="G135" i="16" s="1"/>
  <c r="G136" i="16" s="1"/>
  <c r="G203" i="16" s="1"/>
  <c r="G211" i="16" s="1"/>
  <c r="D81" i="16" l="1"/>
  <c r="D159" i="16" s="1"/>
  <c r="C201" i="14" l="1"/>
  <c r="C113" i="20"/>
  <c r="C113" i="19"/>
  <c r="C113" i="18"/>
  <c r="J73" i="17"/>
  <c r="C24" i="10" l="1"/>
  <c r="E2" i="3"/>
  <c r="F2" i="3"/>
  <c r="G2" i="3"/>
  <c r="H2" i="3"/>
  <c r="I2" i="3"/>
  <c r="D2" i="3"/>
  <c r="I139" i="18"/>
  <c r="C64" i="10"/>
  <c r="D10" i="4"/>
  <c r="D11" i="4"/>
  <c r="D12" i="4"/>
  <c r="D15" i="4"/>
  <c r="D29" i="12" l="1"/>
  <c r="E29" i="12"/>
  <c r="F29" i="12"/>
  <c r="G29" i="12"/>
  <c r="H29" i="12"/>
  <c r="C29" i="12"/>
  <c r="D4" i="12"/>
  <c r="E4" i="12"/>
  <c r="F4" i="12"/>
  <c r="G4" i="12"/>
  <c r="H4" i="12"/>
  <c r="C4" i="12"/>
  <c r="C1" i="2"/>
  <c r="B1" i="2"/>
  <c r="C203" i="2"/>
  <c r="B100" i="4" s="1"/>
  <c r="B84" i="2"/>
  <c r="F125" i="20"/>
  <c r="F127" i="20" s="1"/>
  <c r="J43" i="16"/>
  <c r="J44" i="16"/>
  <c r="J45" i="16"/>
  <c r="F9" i="3"/>
  <c r="I107" i="17" l="1"/>
  <c r="F107" i="21" s="1"/>
  <c r="C106" i="21"/>
  <c r="D106" i="21"/>
  <c r="C104" i="2" s="1"/>
  <c r="B23" i="4" s="1"/>
  <c r="I43" i="20"/>
  <c r="I43" i="21" s="1"/>
  <c r="C43" i="21"/>
  <c r="D43" i="21"/>
  <c r="C41" i="2" s="1"/>
  <c r="E43" i="21"/>
  <c r="I43" i="19"/>
  <c r="H43" i="21" s="1"/>
  <c r="I43" i="18"/>
  <c r="G43" i="21" s="1"/>
  <c r="I44" i="18"/>
  <c r="I42" i="17"/>
  <c r="I43" i="17"/>
  <c r="F43" i="21" s="1"/>
  <c r="I44" i="17"/>
  <c r="I45" i="17"/>
  <c r="I46" i="17"/>
  <c r="C106" i="19" l="1"/>
  <c r="C106" i="20" s="1"/>
  <c r="J106" i="16"/>
  <c r="E106" i="21" s="1"/>
  <c r="D106" i="19"/>
  <c r="I106" i="17"/>
  <c r="I106" i="18" l="1"/>
  <c r="G106" i="21" s="1"/>
  <c r="F106" i="21"/>
  <c r="I106" i="19"/>
  <c r="H106" i="21" s="1"/>
  <c r="D106" i="20"/>
  <c r="I106" i="20" l="1"/>
  <c r="I106" i="21" s="1"/>
  <c r="D150" i="20"/>
  <c r="D150" i="19"/>
  <c r="D150" i="18"/>
  <c r="D150" i="17"/>
  <c r="D150" i="16"/>
  <c r="C17" i="20"/>
  <c r="C18" i="20"/>
  <c r="C16" i="20"/>
  <c r="C15" i="20"/>
  <c r="C14" i="20"/>
  <c r="C13" i="20"/>
  <c r="C12" i="20"/>
  <c r="C16" i="19"/>
  <c r="C15" i="18"/>
  <c r="C15" i="19"/>
  <c r="C18" i="19"/>
  <c r="C17" i="19"/>
  <c r="C14" i="19"/>
  <c r="C13" i="19"/>
  <c r="C12" i="19"/>
  <c r="C16" i="18"/>
  <c r="C17" i="18"/>
  <c r="C18" i="18"/>
  <c r="C13" i="18"/>
  <c r="C14" i="18"/>
  <c r="C12" i="18"/>
  <c r="C17" i="17"/>
  <c r="C16" i="17"/>
  <c r="C15" i="17"/>
  <c r="C14" i="17"/>
  <c r="C12" i="17"/>
  <c r="G107" i="19" l="1"/>
  <c r="D112" i="20"/>
  <c r="E112" i="20"/>
  <c r="F112" i="20"/>
  <c r="G112" i="20"/>
  <c r="C111" i="20"/>
  <c r="I208" i="20"/>
  <c r="I209" i="20"/>
  <c r="I210" i="20"/>
  <c r="I197" i="20"/>
  <c r="I198" i="20"/>
  <c r="H189" i="20"/>
  <c r="I181" i="20"/>
  <c r="I183" i="20"/>
  <c r="I184" i="20"/>
  <c r="I185" i="20"/>
  <c r="I186" i="20"/>
  <c r="I187" i="20"/>
  <c r="I167" i="20"/>
  <c r="I168" i="20"/>
  <c r="H164" i="20"/>
  <c r="I152" i="20"/>
  <c r="I156" i="20"/>
  <c r="I158" i="20"/>
  <c r="I160" i="20"/>
  <c r="I139" i="20"/>
  <c r="I140" i="20"/>
  <c r="I140" i="21" s="1"/>
  <c r="I147" i="20"/>
  <c r="H137" i="20"/>
  <c r="I118" i="20"/>
  <c r="I119" i="20"/>
  <c r="I120" i="20"/>
  <c r="I121" i="20"/>
  <c r="I122" i="20"/>
  <c r="I123" i="20"/>
  <c r="I123" i="21" s="1"/>
  <c r="I126" i="20"/>
  <c r="I117" i="20"/>
  <c r="I114" i="20"/>
  <c r="H97" i="20"/>
  <c r="H96" i="20"/>
  <c r="H95" i="20"/>
  <c r="H94" i="20"/>
  <c r="H93" i="20"/>
  <c r="H92" i="20"/>
  <c r="H90" i="20"/>
  <c r="H89" i="20"/>
  <c r="H88" i="20"/>
  <c r="H87" i="20"/>
  <c r="I80" i="20"/>
  <c r="I82" i="20"/>
  <c r="I83" i="20"/>
  <c r="I84" i="20"/>
  <c r="H72" i="20"/>
  <c r="H60" i="20"/>
  <c r="H63" i="20" s="1"/>
  <c r="I55" i="20"/>
  <c r="I42" i="20"/>
  <c r="I44" i="20"/>
  <c r="I45" i="20"/>
  <c r="I46" i="20"/>
  <c r="I47" i="20"/>
  <c r="I48" i="20"/>
  <c r="I49" i="20"/>
  <c r="I50" i="20"/>
  <c r="I51" i="20"/>
  <c r="I52" i="20"/>
  <c r="I53" i="20"/>
  <c r="I54" i="20"/>
  <c r="I56" i="20"/>
  <c r="I57" i="20"/>
  <c r="I58" i="20"/>
  <c r="I59" i="20"/>
  <c r="I41" i="20"/>
  <c r="I36" i="20"/>
  <c r="H19" i="20"/>
  <c r="H39" i="20"/>
  <c r="H37" i="20"/>
  <c r="I30" i="20"/>
  <c r="I31" i="20"/>
  <c r="I32" i="20"/>
  <c r="I33" i="20"/>
  <c r="I34" i="20"/>
  <c r="I35" i="20"/>
  <c r="I29" i="20"/>
  <c r="J29" i="20" s="1"/>
  <c r="I24" i="20"/>
  <c r="I25" i="20"/>
  <c r="I7" i="20"/>
  <c r="I8" i="20"/>
  <c r="I9" i="20"/>
  <c r="I10" i="20"/>
  <c r="I11" i="20"/>
  <c r="I6" i="20"/>
  <c r="I208" i="19"/>
  <c r="I209" i="19"/>
  <c r="I197" i="19"/>
  <c r="I198" i="19"/>
  <c r="H189" i="19"/>
  <c r="I181" i="19"/>
  <c r="I183" i="19"/>
  <c r="I184" i="19"/>
  <c r="H184" i="21" s="1"/>
  <c r="I185" i="19"/>
  <c r="H185" i="21" s="1"/>
  <c r="I186" i="19"/>
  <c r="H186" i="21" s="1"/>
  <c r="I187" i="19"/>
  <c r="I167" i="19"/>
  <c r="I168" i="19"/>
  <c r="I152" i="19"/>
  <c r="I156" i="19"/>
  <c r="I158" i="19"/>
  <c r="I160" i="19"/>
  <c r="H164" i="19"/>
  <c r="I139" i="19"/>
  <c r="I140" i="19"/>
  <c r="H140" i="21" s="1"/>
  <c r="I147" i="19"/>
  <c r="I118" i="19"/>
  <c r="I119" i="19"/>
  <c r="I120" i="19"/>
  <c r="I121" i="19"/>
  <c r="I122" i="19"/>
  <c r="I123" i="19"/>
  <c r="H123" i="21" s="1"/>
  <c r="I126" i="19"/>
  <c r="I117" i="19"/>
  <c r="I114" i="19"/>
  <c r="I102" i="19"/>
  <c r="C133" i="19"/>
  <c r="I133" i="19" s="1"/>
  <c r="F125" i="19"/>
  <c r="F127" i="19" s="1"/>
  <c r="G112" i="19"/>
  <c r="E112" i="19"/>
  <c r="D112" i="19"/>
  <c r="C111" i="19"/>
  <c r="I42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41" i="19"/>
  <c r="H134" i="20" l="1"/>
  <c r="H131" i="20"/>
  <c r="G107" i="20"/>
  <c r="H130" i="20"/>
  <c r="H129" i="20"/>
  <c r="H62" i="20"/>
  <c r="H64" i="20" s="1"/>
  <c r="H135" i="20" l="1"/>
  <c r="H136" i="20" s="1"/>
  <c r="I30" i="19"/>
  <c r="I31" i="19"/>
  <c r="I32" i="19"/>
  <c r="H32" i="21" s="1"/>
  <c r="I33" i="19"/>
  <c r="H33" i="21" s="1"/>
  <c r="I34" i="19"/>
  <c r="H34" i="21" s="1"/>
  <c r="I35" i="19"/>
  <c r="H35" i="21" s="1"/>
  <c r="I36" i="19"/>
  <c r="H36" i="21" s="1"/>
  <c r="I29" i="19"/>
  <c r="G88" i="19" l="1"/>
  <c r="H88" i="19"/>
  <c r="G89" i="19"/>
  <c r="H89" i="19"/>
  <c r="H90" i="19"/>
  <c r="G91" i="19"/>
  <c r="G92" i="19"/>
  <c r="H92" i="19"/>
  <c r="G93" i="19"/>
  <c r="H93" i="19"/>
  <c r="G94" i="19"/>
  <c r="H94" i="19"/>
  <c r="G95" i="19"/>
  <c r="H95" i="19"/>
  <c r="G96" i="19"/>
  <c r="H96" i="19"/>
  <c r="G97" i="19"/>
  <c r="H97" i="19"/>
  <c r="H87" i="19"/>
  <c r="I80" i="19"/>
  <c r="I82" i="19"/>
  <c r="I83" i="19"/>
  <c r="I84" i="19"/>
  <c r="H72" i="19"/>
  <c r="H60" i="19"/>
  <c r="G60" i="19"/>
  <c r="H37" i="19"/>
  <c r="H39" i="19"/>
  <c r="I24" i="19"/>
  <c r="I25" i="19"/>
  <c r="I7" i="19"/>
  <c r="I8" i="19"/>
  <c r="I9" i="19"/>
  <c r="I10" i="19"/>
  <c r="I11" i="19"/>
  <c r="I18" i="19"/>
  <c r="K18" i="19" s="1"/>
  <c r="I6" i="19"/>
  <c r="H134" i="19" l="1"/>
  <c r="H131" i="19"/>
  <c r="H135" i="19" s="1"/>
  <c r="H136" i="19" s="1"/>
  <c r="C133" i="18"/>
  <c r="I133" i="18" s="1"/>
  <c r="I197" i="18"/>
  <c r="I198" i="18"/>
  <c r="H189" i="18"/>
  <c r="I181" i="18"/>
  <c r="I183" i="18"/>
  <c r="I184" i="18"/>
  <c r="G184" i="21" s="1"/>
  <c r="I185" i="18"/>
  <c r="G185" i="21" s="1"/>
  <c r="I186" i="18"/>
  <c r="G186" i="21" s="1"/>
  <c r="I187" i="18"/>
  <c r="I167" i="18"/>
  <c r="I168" i="18"/>
  <c r="H164" i="18"/>
  <c r="I152" i="18"/>
  <c r="I156" i="18"/>
  <c r="I158" i="18"/>
  <c r="I160" i="18"/>
  <c r="I150" i="18"/>
  <c r="I147" i="18"/>
  <c r="I140" i="18"/>
  <c r="G140" i="21" s="1"/>
  <c r="H137" i="18"/>
  <c r="I118" i="18"/>
  <c r="I119" i="18"/>
  <c r="I120" i="18"/>
  <c r="I121" i="18"/>
  <c r="I122" i="18"/>
  <c r="I123" i="18"/>
  <c r="G123" i="21" s="1"/>
  <c r="I126" i="18"/>
  <c r="I117" i="18"/>
  <c r="I104" i="18"/>
  <c r="I114" i="18"/>
  <c r="I102" i="18"/>
  <c r="H130" i="18"/>
  <c r="H129" i="18"/>
  <c r="F125" i="18"/>
  <c r="F127" i="18" s="1"/>
  <c r="G112" i="18"/>
  <c r="F112" i="18"/>
  <c r="E112" i="18"/>
  <c r="D112" i="18"/>
  <c r="C112" i="18"/>
  <c r="C111" i="18"/>
  <c r="H88" i="18"/>
  <c r="H89" i="18"/>
  <c r="H90" i="18"/>
  <c r="H92" i="18"/>
  <c r="H93" i="18"/>
  <c r="H94" i="18"/>
  <c r="H95" i="18"/>
  <c r="H96" i="18"/>
  <c r="H97" i="18"/>
  <c r="H87" i="18"/>
  <c r="I80" i="18"/>
  <c r="I82" i="18"/>
  <c r="I83" i="18"/>
  <c r="I84" i="18"/>
  <c r="H72" i="18"/>
  <c r="I24" i="18"/>
  <c r="I25" i="18"/>
  <c r="I30" i="18"/>
  <c r="I31" i="18"/>
  <c r="I32" i="18"/>
  <c r="G32" i="21" s="1"/>
  <c r="I33" i="18"/>
  <c r="G33" i="21" s="1"/>
  <c r="I34" i="18"/>
  <c r="G34" i="21" s="1"/>
  <c r="I35" i="18"/>
  <c r="I36" i="18"/>
  <c r="I29" i="18"/>
  <c r="J29" i="18" s="1"/>
  <c r="I42" i="18"/>
  <c r="I45" i="18"/>
  <c r="I46" i="18"/>
  <c r="I47" i="18"/>
  <c r="I48" i="18"/>
  <c r="I49" i="18"/>
  <c r="I50" i="18"/>
  <c r="I51" i="18"/>
  <c r="I52" i="18"/>
  <c r="I53" i="18"/>
  <c r="I54" i="18"/>
  <c r="I55" i="18"/>
  <c r="I56" i="18"/>
  <c r="I57" i="18"/>
  <c r="I58" i="18"/>
  <c r="I59" i="18"/>
  <c r="I41" i="18"/>
  <c r="H39" i="18"/>
  <c r="H19" i="18"/>
  <c r="I7" i="18"/>
  <c r="I8" i="18"/>
  <c r="I9" i="18"/>
  <c r="I10" i="18"/>
  <c r="I11" i="18"/>
  <c r="I17" i="18"/>
  <c r="K17" i="18" s="1"/>
  <c r="I18" i="18"/>
  <c r="K18" i="18" s="1"/>
  <c r="I6" i="18"/>
  <c r="I208" i="17"/>
  <c r="I209" i="17"/>
  <c r="I197" i="17"/>
  <c r="I198" i="17"/>
  <c r="H189" i="17"/>
  <c r="I181" i="17"/>
  <c r="I183" i="17"/>
  <c r="I184" i="17"/>
  <c r="F184" i="21" s="1"/>
  <c r="I185" i="17"/>
  <c r="F185" i="21" s="1"/>
  <c r="I186" i="17"/>
  <c r="F186" i="21" s="1"/>
  <c r="I187" i="17"/>
  <c r="I167" i="17"/>
  <c r="I168" i="17"/>
  <c r="I170" i="17"/>
  <c r="H164" i="17"/>
  <c r="I152" i="17"/>
  <c r="I156" i="17"/>
  <c r="I158" i="17"/>
  <c r="I160" i="17"/>
  <c r="I139" i="17"/>
  <c r="I140" i="17"/>
  <c r="F140" i="21" s="1"/>
  <c r="I147" i="17"/>
  <c r="H137" i="17"/>
  <c r="C133" i="17"/>
  <c r="I133" i="17" s="1"/>
  <c r="H130" i="17"/>
  <c r="H129" i="17"/>
  <c r="F125" i="17"/>
  <c r="F127" i="17" s="1"/>
  <c r="I118" i="17"/>
  <c r="I119" i="17"/>
  <c r="I120" i="17"/>
  <c r="I121" i="17"/>
  <c r="I122" i="17"/>
  <c r="I123" i="17"/>
  <c r="F123" i="21" s="1"/>
  <c r="I126" i="17"/>
  <c r="I117" i="17"/>
  <c r="I103" i="17"/>
  <c r="I104" i="17"/>
  <c r="I114" i="17"/>
  <c r="I102" i="17"/>
  <c r="C113" i="17"/>
  <c r="I113" i="17" s="1"/>
  <c r="C112" i="16"/>
  <c r="H88" i="17"/>
  <c r="H89" i="17"/>
  <c r="H90" i="17"/>
  <c r="H92" i="17"/>
  <c r="H93" i="17"/>
  <c r="H94" i="17"/>
  <c r="H95" i="17"/>
  <c r="H96" i="17"/>
  <c r="H97" i="17"/>
  <c r="H87" i="17"/>
  <c r="I80" i="17"/>
  <c r="I82" i="17"/>
  <c r="I83" i="17"/>
  <c r="I84" i="17"/>
  <c r="H72" i="17"/>
  <c r="H62" i="17"/>
  <c r="H60" i="17"/>
  <c r="H63" i="17" s="1"/>
  <c r="I47" i="17"/>
  <c r="I48" i="17"/>
  <c r="F48" i="21" s="1"/>
  <c r="I49" i="17"/>
  <c r="I50" i="17"/>
  <c r="I51" i="17"/>
  <c r="I52" i="17"/>
  <c r="I53" i="17"/>
  <c r="I54" i="17"/>
  <c r="I55" i="17"/>
  <c r="I56" i="17"/>
  <c r="I57" i="17"/>
  <c r="I58" i="17"/>
  <c r="I59" i="17"/>
  <c r="H39" i="17"/>
  <c r="I41" i="17"/>
  <c r="I29" i="17"/>
  <c r="J29" i="17" s="1"/>
  <c r="I7" i="17"/>
  <c r="I8" i="17"/>
  <c r="I9" i="17"/>
  <c r="I10" i="17"/>
  <c r="I11" i="17"/>
  <c r="I16" i="17"/>
  <c r="K16" i="17" s="1"/>
  <c r="I17" i="17"/>
  <c r="K17" i="17" s="1"/>
  <c r="I18" i="17"/>
  <c r="K18" i="17" s="1"/>
  <c r="I6" i="17"/>
  <c r="D112" i="17"/>
  <c r="E112" i="17"/>
  <c r="F112" i="17"/>
  <c r="G112" i="17"/>
  <c r="C112" i="17"/>
  <c r="C111" i="17"/>
  <c r="I150" i="17"/>
  <c r="I30" i="17"/>
  <c r="I31" i="17"/>
  <c r="I32" i="17"/>
  <c r="I33" i="17"/>
  <c r="F33" i="21" s="1"/>
  <c r="I34" i="17"/>
  <c r="F34" i="21" s="1"/>
  <c r="I35" i="17"/>
  <c r="I36" i="17"/>
  <c r="I24" i="17"/>
  <c r="I25" i="17"/>
  <c r="J197" i="16"/>
  <c r="J198" i="16"/>
  <c r="J187" i="16"/>
  <c r="J167" i="16"/>
  <c r="J168" i="16"/>
  <c r="J170" i="16"/>
  <c r="I164" i="16"/>
  <c r="J150" i="16"/>
  <c r="J132" i="16"/>
  <c r="J133" i="16"/>
  <c r="F125" i="16"/>
  <c r="F127" i="16" s="1"/>
  <c r="J118" i="16"/>
  <c r="J119" i="16"/>
  <c r="J120" i="16"/>
  <c r="J121" i="16"/>
  <c r="J122" i="16"/>
  <c r="J123" i="16"/>
  <c r="E123" i="21" s="1"/>
  <c r="J126" i="16"/>
  <c r="J117" i="16"/>
  <c r="I116" i="16"/>
  <c r="I130" i="16" s="1"/>
  <c r="J103" i="16"/>
  <c r="J107" i="16"/>
  <c r="E107" i="21" s="1"/>
  <c r="J114" i="16"/>
  <c r="J102" i="16"/>
  <c r="H112" i="16"/>
  <c r="E112" i="16"/>
  <c r="D112" i="16"/>
  <c r="C111" i="16"/>
  <c r="J111" i="16" s="1"/>
  <c r="J80" i="16"/>
  <c r="J82" i="16"/>
  <c r="J83" i="16"/>
  <c r="J84" i="16"/>
  <c r="I88" i="16"/>
  <c r="I89" i="16"/>
  <c r="I90" i="16"/>
  <c r="I92" i="16"/>
  <c r="I93" i="16"/>
  <c r="I94" i="16"/>
  <c r="I95" i="16"/>
  <c r="I96" i="16"/>
  <c r="I97" i="16"/>
  <c r="I87" i="16"/>
  <c r="I72" i="16"/>
  <c r="J54" i="16"/>
  <c r="J41" i="16"/>
  <c r="I60" i="16"/>
  <c r="I63" i="16" s="1"/>
  <c r="J42" i="16"/>
  <c r="J46" i="16"/>
  <c r="J47" i="16"/>
  <c r="J48" i="16"/>
  <c r="J49" i="16"/>
  <c r="J50" i="16"/>
  <c r="E50" i="21" s="1"/>
  <c r="J51" i="16"/>
  <c r="J52" i="16"/>
  <c r="J53" i="16"/>
  <c r="J55" i="16"/>
  <c r="J56" i="16"/>
  <c r="J57" i="16"/>
  <c r="J58" i="16"/>
  <c r="J59" i="16"/>
  <c r="I39" i="16"/>
  <c r="I37" i="16"/>
  <c r="I62" i="16" s="1"/>
  <c r="J30" i="16"/>
  <c r="J31" i="16"/>
  <c r="J32" i="16"/>
  <c r="J33" i="16"/>
  <c r="J34" i="16"/>
  <c r="J35" i="16"/>
  <c r="J36" i="16"/>
  <c r="J29" i="16"/>
  <c r="J24" i="16"/>
  <c r="J25" i="16"/>
  <c r="J7" i="16"/>
  <c r="J8" i="16"/>
  <c r="J9" i="16"/>
  <c r="J10" i="16"/>
  <c r="J11" i="16"/>
  <c r="J14" i="16"/>
  <c r="L14" i="16" s="1"/>
  <c r="J17" i="16"/>
  <c r="L17" i="16" s="1"/>
  <c r="J18" i="16"/>
  <c r="L18" i="16" s="1"/>
  <c r="J6" i="16"/>
  <c r="I213" i="15"/>
  <c r="D107" i="21"/>
  <c r="C105" i="2" s="1"/>
  <c r="B24" i="4" s="1"/>
  <c r="D186" i="21"/>
  <c r="H135" i="18" l="1"/>
  <c r="H136" i="18" s="1"/>
  <c r="H135" i="17"/>
  <c r="H136" i="17" s="1"/>
  <c r="E115" i="16"/>
  <c r="H64" i="17"/>
  <c r="C180" i="2"/>
  <c r="B84" i="4" s="1"/>
  <c r="I64" i="16"/>
  <c r="I129" i="16"/>
  <c r="I135" i="16" s="1"/>
  <c r="I136" i="16" s="1"/>
  <c r="I112" i="18"/>
  <c r="I112" i="17"/>
  <c r="D104" i="19" l="1"/>
  <c r="D104" i="20" s="1"/>
  <c r="J105" i="16"/>
  <c r="D105" i="19" l="1"/>
  <c r="H208" i="21"/>
  <c r="H229" i="21" s="1"/>
  <c r="I208" i="21"/>
  <c r="D206" i="21"/>
  <c r="E197" i="21"/>
  <c r="F197" i="21"/>
  <c r="G197" i="21"/>
  <c r="H197" i="21"/>
  <c r="I197" i="21"/>
  <c r="E198" i="21"/>
  <c r="F198" i="21"/>
  <c r="G198" i="21"/>
  <c r="H198" i="21"/>
  <c r="I198" i="21"/>
  <c r="D180" i="21"/>
  <c r="C174" i="2" s="1"/>
  <c r="B79" i="4" s="1"/>
  <c r="D181" i="21"/>
  <c r="C175" i="2" s="1"/>
  <c r="B80" i="4" s="1"/>
  <c r="E181" i="21"/>
  <c r="F181" i="21"/>
  <c r="G181" i="21"/>
  <c r="H181" i="21"/>
  <c r="I181" i="21"/>
  <c r="D183" i="21"/>
  <c r="C177" i="2" s="1"/>
  <c r="B82" i="4" s="1"/>
  <c r="E183" i="21"/>
  <c r="F183" i="21"/>
  <c r="G183" i="21"/>
  <c r="H183" i="21"/>
  <c r="I183" i="21"/>
  <c r="D184" i="21"/>
  <c r="C178" i="2" s="1"/>
  <c r="E184" i="21"/>
  <c r="I184" i="21"/>
  <c r="D185" i="21"/>
  <c r="C179" i="2" s="1"/>
  <c r="B83" i="4" s="1"/>
  <c r="E185" i="21"/>
  <c r="I185" i="21"/>
  <c r="E186" i="21"/>
  <c r="L186" i="21" s="1"/>
  <c r="I186" i="21"/>
  <c r="D187" i="21"/>
  <c r="C181" i="2" s="1"/>
  <c r="B85" i="4" s="1"/>
  <c r="E187" i="21"/>
  <c r="F187" i="21"/>
  <c r="G187" i="21"/>
  <c r="H187" i="21"/>
  <c r="I187" i="21"/>
  <c r="D176" i="21"/>
  <c r="C170" i="2" s="1"/>
  <c r="B77" i="4" s="1"/>
  <c r="D166" i="21"/>
  <c r="C160" i="2" s="1"/>
  <c r="B69" i="4" s="1"/>
  <c r="D167" i="21"/>
  <c r="C161" i="2" s="1"/>
  <c r="B70" i="4" s="1"/>
  <c r="E167" i="21"/>
  <c r="F167" i="21"/>
  <c r="G167" i="21"/>
  <c r="H167" i="21"/>
  <c r="I167" i="21"/>
  <c r="D168" i="21"/>
  <c r="C162" i="2" s="1"/>
  <c r="B71" i="4" s="1"/>
  <c r="E168" i="21"/>
  <c r="F168" i="21"/>
  <c r="G168" i="21"/>
  <c r="H168" i="21"/>
  <c r="I168" i="21"/>
  <c r="D169" i="21"/>
  <c r="C163" i="2" s="1"/>
  <c r="B72" i="4" s="1"/>
  <c r="D170" i="21"/>
  <c r="C164" i="2" s="1"/>
  <c r="B73" i="4" s="1"/>
  <c r="E170" i="21"/>
  <c r="F170" i="21"/>
  <c r="D171" i="21"/>
  <c r="C165" i="2" s="1"/>
  <c r="B74" i="4" s="1"/>
  <c r="D165" i="21"/>
  <c r="C159" i="2" s="1"/>
  <c r="B68" i="4" s="1"/>
  <c r="D152" i="21"/>
  <c r="C147" i="2" s="1"/>
  <c r="B58" i="4" s="1"/>
  <c r="E152" i="21"/>
  <c r="F152" i="21"/>
  <c r="G152" i="21"/>
  <c r="H152" i="21"/>
  <c r="I152" i="21"/>
  <c r="D155" i="21"/>
  <c r="C150" i="2" s="1"/>
  <c r="B61" i="4" s="1"/>
  <c r="E155" i="21"/>
  <c r="D156" i="21"/>
  <c r="C151" i="2" s="1"/>
  <c r="B62" i="4" s="1"/>
  <c r="E156" i="21"/>
  <c r="F156" i="21"/>
  <c r="G156" i="21"/>
  <c r="H156" i="21"/>
  <c r="I156" i="21"/>
  <c r="D158" i="21"/>
  <c r="C153" i="2" s="1"/>
  <c r="B64" i="4" s="1"/>
  <c r="E158" i="21"/>
  <c r="F158" i="21"/>
  <c r="G158" i="21"/>
  <c r="H158" i="21"/>
  <c r="I158" i="21"/>
  <c r="D160" i="21"/>
  <c r="C155" i="2" s="1"/>
  <c r="B66" i="4" s="1"/>
  <c r="E160" i="21"/>
  <c r="F160" i="21"/>
  <c r="G160" i="21"/>
  <c r="H160" i="21"/>
  <c r="I160" i="21"/>
  <c r="D150" i="21"/>
  <c r="C145" i="2" s="1"/>
  <c r="B56" i="4" s="1"/>
  <c r="D139" i="21"/>
  <c r="C135" i="2" s="1"/>
  <c r="B48" i="4" s="1"/>
  <c r="F139" i="21"/>
  <c r="G139" i="21"/>
  <c r="H139" i="21"/>
  <c r="I139" i="21"/>
  <c r="F147" i="21"/>
  <c r="G147" i="21"/>
  <c r="H147" i="21"/>
  <c r="I147" i="21"/>
  <c r="D131" i="21"/>
  <c r="C128" i="2" s="1"/>
  <c r="B43" i="4" s="1"/>
  <c r="D132" i="21"/>
  <c r="C129" i="2" s="1"/>
  <c r="B44" i="4" s="1"/>
  <c r="E132" i="21"/>
  <c r="F132" i="21"/>
  <c r="G132" i="21"/>
  <c r="H132" i="21"/>
  <c r="I132" i="21"/>
  <c r="E133" i="21"/>
  <c r="G133" i="21"/>
  <c r="D118" i="21"/>
  <c r="C116" i="2" s="1"/>
  <c r="E118" i="21"/>
  <c r="F118" i="21"/>
  <c r="G118" i="21"/>
  <c r="H118" i="21"/>
  <c r="I118" i="21"/>
  <c r="D119" i="21"/>
  <c r="C117" i="2" s="1"/>
  <c r="E119" i="21"/>
  <c r="F119" i="21"/>
  <c r="G119" i="21"/>
  <c r="H119" i="21"/>
  <c r="I119" i="21"/>
  <c r="D120" i="21"/>
  <c r="C118" i="2" s="1"/>
  <c r="E120" i="21"/>
  <c r="F120" i="21"/>
  <c r="G120" i="21"/>
  <c r="H120" i="21"/>
  <c r="I120" i="21"/>
  <c r="D121" i="21"/>
  <c r="C119" i="2" s="1"/>
  <c r="E121" i="21"/>
  <c r="F121" i="21"/>
  <c r="G121" i="21"/>
  <c r="H121" i="21"/>
  <c r="I121" i="21"/>
  <c r="D122" i="21"/>
  <c r="C120" i="2" s="1"/>
  <c r="E122" i="21"/>
  <c r="F122" i="21"/>
  <c r="G122" i="21"/>
  <c r="H122" i="21"/>
  <c r="I122" i="21"/>
  <c r="D124" i="21"/>
  <c r="C121" i="2" s="1"/>
  <c r="E124" i="21"/>
  <c r="F124" i="21"/>
  <c r="G124" i="21"/>
  <c r="H124" i="21"/>
  <c r="I124" i="21"/>
  <c r="D126" i="21"/>
  <c r="C123" i="2" s="1"/>
  <c r="B40" i="4" s="1"/>
  <c r="E126" i="21"/>
  <c r="F126" i="21"/>
  <c r="G126" i="21"/>
  <c r="H126" i="21"/>
  <c r="I126" i="21"/>
  <c r="I117" i="21"/>
  <c r="H117" i="21"/>
  <c r="G117" i="21"/>
  <c r="F117" i="21"/>
  <c r="E117" i="21"/>
  <c r="D117" i="21"/>
  <c r="C115" i="2" s="1"/>
  <c r="E103" i="21"/>
  <c r="F103" i="21"/>
  <c r="D104" i="21"/>
  <c r="C102" i="2" s="1"/>
  <c r="B21" i="4" s="1"/>
  <c r="E21" i="4" s="1"/>
  <c r="F21" i="4" s="1"/>
  <c r="G21" i="4" s="1"/>
  <c r="H21" i="4" s="1"/>
  <c r="I21" i="4" s="1"/>
  <c r="J21" i="4" s="1"/>
  <c r="K21" i="4" s="1"/>
  <c r="L21" i="4" s="1"/>
  <c r="M21" i="4" s="1"/>
  <c r="N21" i="4" s="1"/>
  <c r="O21" i="4" s="1"/>
  <c r="P21" i="4" s="1"/>
  <c r="F104" i="21"/>
  <c r="D105" i="21"/>
  <c r="C103" i="2" s="1"/>
  <c r="B22" i="4" s="1"/>
  <c r="D114" i="21"/>
  <c r="C112" i="2" s="1"/>
  <c r="B31" i="4" s="1"/>
  <c r="E114" i="21"/>
  <c r="F114" i="21"/>
  <c r="G114" i="21"/>
  <c r="H114" i="21"/>
  <c r="I114" i="21"/>
  <c r="E102" i="21"/>
  <c r="D102" i="21"/>
  <c r="C91" i="21"/>
  <c r="D76" i="21"/>
  <c r="C74" i="2" s="1"/>
  <c r="B7" i="4" s="1"/>
  <c r="D79" i="21"/>
  <c r="C77" i="2" s="1"/>
  <c r="B10" i="4" s="1"/>
  <c r="D80" i="21"/>
  <c r="C78" i="2" s="1"/>
  <c r="B11" i="4" s="1"/>
  <c r="E80" i="21"/>
  <c r="F80" i="21"/>
  <c r="G80" i="21"/>
  <c r="H80" i="21"/>
  <c r="I80" i="21"/>
  <c r="D81" i="21"/>
  <c r="C79" i="2" s="1"/>
  <c r="B12" i="4" s="1"/>
  <c r="D82" i="21"/>
  <c r="C80" i="2" s="1"/>
  <c r="B13" i="4" s="1"/>
  <c r="E82" i="21"/>
  <c r="F82" i="21"/>
  <c r="G82" i="21"/>
  <c r="H82" i="21"/>
  <c r="I82" i="21"/>
  <c r="D83" i="21"/>
  <c r="C81" i="2" s="1"/>
  <c r="B14" i="4" s="1"/>
  <c r="E83" i="21"/>
  <c r="F83" i="21"/>
  <c r="G83" i="21"/>
  <c r="H83" i="21"/>
  <c r="I83" i="21"/>
  <c r="D84" i="21"/>
  <c r="C82" i="2" s="1"/>
  <c r="B15" i="4" s="1"/>
  <c r="E84" i="21"/>
  <c r="F84" i="21"/>
  <c r="G84" i="21"/>
  <c r="H84" i="21"/>
  <c r="I84" i="21"/>
  <c r="G50" i="21"/>
  <c r="F51" i="21"/>
  <c r="G51" i="21"/>
  <c r="H51" i="21"/>
  <c r="I51" i="21"/>
  <c r="E52" i="21"/>
  <c r="D20" i="12" s="1"/>
  <c r="F52" i="21"/>
  <c r="E20" i="12" s="1"/>
  <c r="G52" i="21"/>
  <c r="F20" i="12" s="1"/>
  <c r="H52" i="21"/>
  <c r="G20" i="12" s="1"/>
  <c r="I52" i="21"/>
  <c r="H20" i="12" s="1"/>
  <c r="E53" i="21"/>
  <c r="D33" i="10" s="1"/>
  <c r="F53" i="21"/>
  <c r="E33" i="10" s="1"/>
  <c r="G53" i="21"/>
  <c r="F33" i="10" s="1"/>
  <c r="H53" i="21"/>
  <c r="G33" i="10" s="1"/>
  <c r="I53" i="21"/>
  <c r="H33" i="10" s="1"/>
  <c r="E54" i="21"/>
  <c r="F54" i="21"/>
  <c r="G54" i="21"/>
  <c r="H54" i="21"/>
  <c r="I54" i="21"/>
  <c r="E55" i="21"/>
  <c r="F55" i="21"/>
  <c r="G55" i="21"/>
  <c r="H55" i="21"/>
  <c r="I55" i="21"/>
  <c r="E56" i="21"/>
  <c r="D39" i="10" s="1"/>
  <c r="F56" i="21"/>
  <c r="E39" i="10" s="1"/>
  <c r="G56" i="21"/>
  <c r="F39" i="10" s="1"/>
  <c r="H56" i="21"/>
  <c r="G39" i="10" s="1"/>
  <c r="I56" i="21"/>
  <c r="H39" i="10" s="1"/>
  <c r="E57" i="21"/>
  <c r="D19" i="12" s="1"/>
  <c r="F57" i="21"/>
  <c r="E19" i="12" s="1"/>
  <c r="G57" i="21"/>
  <c r="F19" i="12" s="1"/>
  <c r="H57" i="21"/>
  <c r="G19" i="12" s="1"/>
  <c r="I57" i="21"/>
  <c r="H19" i="12" s="1"/>
  <c r="E59" i="21"/>
  <c r="F59" i="21"/>
  <c r="G59" i="21"/>
  <c r="H59" i="21"/>
  <c r="I59" i="21"/>
  <c r="I49" i="21"/>
  <c r="H16" i="12" s="1"/>
  <c r="H49" i="21"/>
  <c r="G16" i="12" s="1"/>
  <c r="G49" i="21"/>
  <c r="F16" i="12" s="1"/>
  <c r="F49" i="21"/>
  <c r="E16" i="12" s="1"/>
  <c r="E49" i="21"/>
  <c r="D16" i="12" s="1"/>
  <c r="I48" i="21"/>
  <c r="H48" i="21"/>
  <c r="G48" i="21"/>
  <c r="E48" i="21"/>
  <c r="I47" i="21"/>
  <c r="H47" i="21"/>
  <c r="G47" i="21"/>
  <c r="F47" i="21"/>
  <c r="E47" i="21"/>
  <c r="I46" i="21"/>
  <c r="H46" i="21"/>
  <c r="G46" i="21"/>
  <c r="F46" i="21"/>
  <c r="E46" i="21"/>
  <c r="F45" i="21"/>
  <c r="E45" i="21"/>
  <c r="H44" i="21"/>
  <c r="G44" i="21"/>
  <c r="F44" i="21"/>
  <c r="E44" i="21"/>
  <c r="I42" i="21"/>
  <c r="H42" i="21"/>
  <c r="G42" i="21"/>
  <c r="F42" i="21"/>
  <c r="E42" i="21"/>
  <c r="I41" i="21"/>
  <c r="H41" i="21"/>
  <c r="G41" i="21"/>
  <c r="F41" i="21"/>
  <c r="E41" i="21"/>
  <c r="E30" i="21"/>
  <c r="F30" i="21"/>
  <c r="G30" i="21"/>
  <c r="H30" i="21"/>
  <c r="I30" i="21"/>
  <c r="E31" i="21"/>
  <c r="F31" i="21"/>
  <c r="G31" i="21"/>
  <c r="H31" i="21"/>
  <c r="I31" i="21"/>
  <c r="E32" i="21"/>
  <c r="F32" i="21"/>
  <c r="I32" i="21"/>
  <c r="E33" i="21"/>
  <c r="I33" i="21"/>
  <c r="E34" i="21"/>
  <c r="I34" i="21"/>
  <c r="E35" i="21"/>
  <c r="F35" i="21"/>
  <c r="G35" i="21"/>
  <c r="I35" i="21"/>
  <c r="E36" i="21"/>
  <c r="F36" i="21"/>
  <c r="I36" i="21"/>
  <c r="I29" i="21"/>
  <c r="K29" i="21" s="1"/>
  <c r="H29" i="21"/>
  <c r="G29" i="21"/>
  <c r="F29" i="21"/>
  <c r="E29" i="21"/>
  <c r="E25" i="21"/>
  <c r="F25" i="21"/>
  <c r="G25" i="21"/>
  <c r="H25" i="21"/>
  <c r="I25" i="21"/>
  <c r="E24" i="21"/>
  <c r="F24" i="21"/>
  <c r="G24" i="21"/>
  <c r="H24" i="21"/>
  <c r="I24" i="21"/>
  <c r="D7" i="21"/>
  <c r="E7" i="21"/>
  <c r="F7" i="21"/>
  <c r="G7" i="21"/>
  <c r="H7" i="21"/>
  <c r="I7" i="21"/>
  <c r="D8" i="21"/>
  <c r="E8" i="21"/>
  <c r="F8" i="21"/>
  <c r="G8" i="21"/>
  <c r="F40" i="9" s="1"/>
  <c r="F19" i="9" s="1"/>
  <c r="H8" i="21"/>
  <c r="I8" i="21"/>
  <c r="D9" i="21"/>
  <c r="E9" i="21"/>
  <c r="F9" i="21"/>
  <c r="G9" i="21"/>
  <c r="H9" i="21"/>
  <c r="I9" i="21"/>
  <c r="D10" i="21"/>
  <c r="E10" i="21"/>
  <c r="D42" i="9" s="1"/>
  <c r="D21" i="9" s="1"/>
  <c r="F10" i="21"/>
  <c r="G10" i="21"/>
  <c r="F42" i="9" s="1"/>
  <c r="F21" i="9" s="1"/>
  <c r="H10" i="21"/>
  <c r="I10" i="21"/>
  <c r="H42" i="9" s="1"/>
  <c r="H21" i="9" s="1"/>
  <c r="D11" i="21"/>
  <c r="E11" i="21"/>
  <c r="F11" i="21"/>
  <c r="G11" i="21"/>
  <c r="H11" i="21"/>
  <c r="I11" i="21"/>
  <c r="D13" i="21"/>
  <c r="D14" i="21"/>
  <c r="E14" i="21"/>
  <c r="D16" i="21"/>
  <c r="F16" i="21"/>
  <c r="D17" i="21"/>
  <c r="E17" i="21"/>
  <c r="F17" i="21"/>
  <c r="G17" i="21"/>
  <c r="D18" i="21"/>
  <c r="E18" i="21"/>
  <c r="F18" i="21"/>
  <c r="G18" i="21"/>
  <c r="H18" i="21"/>
  <c r="I6" i="21"/>
  <c r="H6" i="21"/>
  <c r="G38" i="9" s="1"/>
  <c r="G17" i="9" s="1"/>
  <c r="G6" i="21"/>
  <c r="F6" i="21"/>
  <c r="E6" i="21"/>
  <c r="D6" i="21"/>
  <c r="I229" i="21"/>
  <c r="B229" i="21"/>
  <c r="B228" i="21"/>
  <c r="B227" i="21"/>
  <c r="I213" i="21"/>
  <c r="H213" i="21"/>
  <c r="G213" i="21"/>
  <c r="F213" i="21"/>
  <c r="E213" i="21"/>
  <c r="D213" i="21"/>
  <c r="C213" i="21"/>
  <c r="B213" i="21"/>
  <c r="I189" i="21"/>
  <c r="H189" i="21"/>
  <c r="G189" i="21"/>
  <c r="F189" i="21"/>
  <c r="E189" i="21"/>
  <c r="D189" i="21"/>
  <c r="C189" i="21"/>
  <c r="I164" i="21"/>
  <c r="H164" i="21"/>
  <c r="G164" i="21"/>
  <c r="F164" i="21"/>
  <c r="E164" i="21"/>
  <c r="D164" i="21"/>
  <c r="C164" i="21"/>
  <c r="I137" i="21"/>
  <c r="H137" i="21"/>
  <c r="G137" i="21"/>
  <c r="F137" i="21"/>
  <c r="E137" i="21"/>
  <c r="D137" i="21"/>
  <c r="C137" i="21"/>
  <c r="L130" i="21"/>
  <c r="M130" i="21" s="1"/>
  <c r="N130" i="21" s="1"/>
  <c r="O130" i="21" s="1"/>
  <c r="P130" i="21" s="1"/>
  <c r="L129" i="21"/>
  <c r="M129" i="21" s="1"/>
  <c r="K128" i="21"/>
  <c r="I116" i="21"/>
  <c r="H116" i="21"/>
  <c r="G116" i="21"/>
  <c r="F116" i="21"/>
  <c r="E116" i="21"/>
  <c r="D116" i="21"/>
  <c r="C116" i="21"/>
  <c r="I101" i="21"/>
  <c r="H101" i="21"/>
  <c r="G101" i="21"/>
  <c r="F101" i="21"/>
  <c r="E101" i="21"/>
  <c r="D101" i="21"/>
  <c r="C101" i="21"/>
  <c r="B97" i="21"/>
  <c r="B96" i="21"/>
  <c r="B95" i="21"/>
  <c r="B94" i="21"/>
  <c r="B93" i="21"/>
  <c r="B92" i="21"/>
  <c r="B89" i="21"/>
  <c r="B88" i="21"/>
  <c r="B87" i="21"/>
  <c r="K81" i="21"/>
  <c r="K80" i="21"/>
  <c r="K79" i="21"/>
  <c r="M74" i="21"/>
  <c r="I72" i="21"/>
  <c r="H72" i="21"/>
  <c r="G72" i="21"/>
  <c r="F72" i="21"/>
  <c r="E72" i="21"/>
  <c r="D72" i="21"/>
  <c r="C72" i="21"/>
  <c r="I39" i="21"/>
  <c r="H39" i="21"/>
  <c r="G39" i="21"/>
  <c r="F39" i="21"/>
  <c r="E39" i="21"/>
  <c r="D39" i="21"/>
  <c r="C39" i="21"/>
  <c r="F112" i="19"/>
  <c r="G91" i="18"/>
  <c r="D91" i="21"/>
  <c r="C89" i="2" s="1"/>
  <c r="D78" i="21"/>
  <c r="C76" i="2" s="1"/>
  <c r="B9" i="4" s="1"/>
  <c r="I78" i="14"/>
  <c r="C78" i="21" s="1"/>
  <c r="N75" i="20"/>
  <c r="D109" i="20"/>
  <c r="I195" i="20"/>
  <c r="I195" i="21" s="1"/>
  <c r="I193" i="20"/>
  <c r="I193" i="21" s="1"/>
  <c r="I192" i="20"/>
  <c r="I192" i="21" s="1"/>
  <c r="I191" i="20"/>
  <c r="I191" i="21" s="1"/>
  <c r="I190" i="20"/>
  <c r="I190" i="21" s="1"/>
  <c r="C189" i="20"/>
  <c r="C164" i="20"/>
  <c r="C137" i="20"/>
  <c r="C133" i="20"/>
  <c r="C125" i="20"/>
  <c r="C127" i="20" s="1"/>
  <c r="I113" i="20"/>
  <c r="I113" i="21" s="1"/>
  <c r="C112" i="20"/>
  <c r="I112" i="20" s="1"/>
  <c r="C109" i="20"/>
  <c r="C97" i="20"/>
  <c r="C96" i="20"/>
  <c r="C95" i="20"/>
  <c r="C94" i="20"/>
  <c r="C89" i="20"/>
  <c r="C93" i="20"/>
  <c r="C92" i="20"/>
  <c r="C90" i="20"/>
  <c r="C88" i="20"/>
  <c r="C72" i="20"/>
  <c r="C60" i="20"/>
  <c r="C63" i="20" s="1"/>
  <c r="C39" i="20"/>
  <c r="C37" i="20"/>
  <c r="I18" i="20"/>
  <c r="I18" i="21" s="1"/>
  <c r="H50" i="9" s="1"/>
  <c r="H29" i="9" s="1"/>
  <c r="I17" i="20"/>
  <c r="K17" i="20" s="1"/>
  <c r="I16" i="20"/>
  <c r="I15" i="20"/>
  <c r="I14" i="20"/>
  <c r="I13" i="20"/>
  <c r="I12" i="20"/>
  <c r="I12" i="21" s="1"/>
  <c r="I133" i="21" l="1"/>
  <c r="I133" i="20"/>
  <c r="P191" i="21"/>
  <c r="C100" i="2"/>
  <c r="B19" i="4" s="1"/>
  <c r="C108" i="20"/>
  <c r="I108" i="20" s="1"/>
  <c r="C134" i="20"/>
  <c r="C131" i="20"/>
  <c r="D105" i="20"/>
  <c r="H14" i="12"/>
  <c r="H41" i="10"/>
  <c r="P11" i="21"/>
  <c r="H43" i="9"/>
  <c r="H22" i="9" s="1"/>
  <c r="P9" i="21"/>
  <c r="H41" i="9"/>
  <c r="H20" i="9" s="1"/>
  <c r="P7" i="21"/>
  <c r="H39" i="9"/>
  <c r="H18" i="9" s="1"/>
  <c r="H35" i="10"/>
  <c r="H7" i="12"/>
  <c r="H97" i="10"/>
  <c r="H118" i="10"/>
  <c r="H36" i="10"/>
  <c r="H8" i="12"/>
  <c r="H15" i="12"/>
  <c r="H42" i="10"/>
  <c r="H121" i="10"/>
  <c r="H100" i="10"/>
  <c r="H28" i="10"/>
  <c r="H6" i="12"/>
  <c r="H115" i="10"/>
  <c r="H94" i="10"/>
  <c r="P12" i="21"/>
  <c r="H44" i="9"/>
  <c r="H23" i="9" s="1"/>
  <c r="P6" i="21"/>
  <c r="H38" i="9"/>
  <c r="H17" i="9" s="1"/>
  <c r="H18" i="12"/>
  <c r="H44" i="10"/>
  <c r="P8" i="21"/>
  <c r="H40" i="9"/>
  <c r="H19" i="9" s="1"/>
  <c r="H5" i="12"/>
  <c r="H27" i="10"/>
  <c r="H40" i="10"/>
  <c r="H13" i="12"/>
  <c r="O6" i="21"/>
  <c r="O8" i="21"/>
  <c r="G40" i="9"/>
  <c r="G19" i="9" s="1"/>
  <c r="G12" i="12"/>
  <c r="G29" i="10"/>
  <c r="G115" i="10"/>
  <c r="G94" i="10"/>
  <c r="O10" i="21"/>
  <c r="G42" i="9"/>
  <c r="G21" i="9" s="1"/>
  <c r="G7" i="12"/>
  <c r="G35" i="10"/>
  <c r="G15" i="12"/>
  <c r="G42" i="10"/>
  <c r="O11" i="21"/>
  <c r="G43" i="9"/>
  <c r="G22" i="9" s="1"/>
  <c r="O9" i="21"/>
  <c r="G41" i="9"/>
  <c r="G20" i="9" s="1"/>
  <c r="O7" i="21"/>
  <c r="G39" i="9"/>
  <c r="G18" i="9" s="1"/>
  <c r="G97" i="10"/>
  <c r="G118" i="10"/>
  <c r="G36" i="10"/>
  <c r="G8" i="12"/>
  <c r="G27" i="10"/>
  <c r="G5" i="12"/>
  <c r="G13" i="12"/>
  <c r="G40" i="10"/>
  <c r="G121" i="10"/>
  <c r="G100" i="10"/>
  <c r="O18" i="21"/>
  <c r="G50" i="9"/>
  <c r="G29" i="9" s="1"/>
  <c r="G98" i="10"/>
  <c r="G119" i="10"/>
  <c r="G37" i="10"/>
  <c r="G9" i="12"/>
  <c r="G6" i="12"/>
  <c r="G28" i="10"/>
  <c r="G14" i="12"/>
  <c r="G41" i="10"/>
  <c r="G44" i="10"/>
  <c r="G18" i="12"/>
  <c r="N6" i="21"/>
  <c r="F38" i="9"/>
  <c r="F17" i="9" s="1"/>
  <c r="N17" i="21"/>
  <c r="F49" i="9"/>
  <c r="F28" i="9" s="1"/>
  <c r="F98" i="10"/>
  <c r="F119" i="10"/>
  <c r="F9" i="12"/>
  <c r="F37" i="10"/>
  <c r="F27" i="10"/>
  <c r="F5" i="12"/>
  <c r="F13" i="12"/>
  <c r="F40" i="10"/>
  <c r="F6" i="12"/>
  <c r="F28" i="10"/>
  <c r="F41" i="10"/>
  <c r="F14" i="12"/>
  <c r="F94" i="10"/>
  <c r="F115" i="10"/>
  <c r="F17" i="12"/>
  <c r="F43" i="10"/>
  <c r="N18" i="21"/>
  <c r="F50" i="9"/>
  <c r="F29" i="9" s="1"/>
  <c r="F44" i="10"/>
  <c r="F18" i="12"/>
  <c r="N10" i="21"/>
  <c r="N11" i="21"/>
  <c r="F43" i="9"/>
  <c r="F22" i="9" s="1"/>
  <c r="N9" i="21"/>
  <c r="F41" i="9"/>
  <c r="F20" i="9" s="1"/>
  <c r="N7" i="21"/>
  <c r="F39" i="9"/>
  <c r="F18" i="9" s="1"/>
  <c r="F7" i="12"/>
  <c r="F35" i="10"/>
  <c r="F97" i="10"/>
  <c r="F118" i="10"/>
  <c r="F8" i="12"/>
  <c r="F36" i="10"/>
  <c r="F29" i="10"/>
  <c r="F12" i="12"/>
  <c r="F121" i="10"/>
  <c r="F100" i="10"/>
  <c r="M16" i="21"/>
  <c r="E48" i="9"/>
  <c r="E27" i="9" s="1"/>
  <c r="M9" i="21"/>
  <c r="E41" i="9"/>
  <c r="E20" i="9" s="1"/>
  <c r="E13" i="12"/>
  <c r="E40" i="10"/>
  <c r="M17" i="21"/>
  <c r="E49" i="9"/>
  <c r="E28" i="9" s="1"/>
  <c r="E119" i="10"/>
  <c r="E98" i="10"/>
  <c r="E37" i="10"/>
  <c r="E9" i="12"/>
  <c r="E6" i="12"/>
  <c r="E28" i="10"/>
  <c r="M10" i="21"/>
  <c r="E42" i="9"/>
  <c r="E21" i="9" s="1"/>
  <c r="M8" i="21"/>
  <c r="E40" i="9"/>
  <c r="E19" i="9" s="1"/>
  <c r="E7" i="12"/>
  <c r="E35" i="10"/>
  <c r="E29" i="10"/>
  <c r="E12" i="12"/>
  <c r="E11" i="12"/>
  <c r="E31" i="10"/>
  <c r="M11" i="21"/>
  <c r="E43" i="9"/>
  <c r="E22" i="9" s="1"/>
  <c r="M7" i="21"/>
  <c r="E39" i="9"/>
  <c r="E18" i="9" s="1"/>
  <c r="E27" i="10"/>
  <c r="E5" i="12"/>
  <c r="E100" i="10"/>
  <c r="E121" i="10"/>
  <c r="M18" i="21"/>
  <c r="E50" i="9"/>
  <c r="E29" i="9" s="1"/>
  <c r="E14" i="12"/>
  <c r="E41" i="10"/>
  <c r="E44" i="10"/>
  <c r="E18" i="12"/>
  <c r="M6" i="21"/>
  <c r="E38" i="9"/>
  <c r="E17" i="9" s="1"/>
  <c r="E94" i="10"/>
  <c r="E115" i="10"/>
  <c r="D41" i="10"/>
  <c r="D14" i="12"/>
  <c r="D115" i="10"/>
  <c r="D94" i="10"/>
  <c r="L11" i="21"/>
  <c r="D43" i="9"/>
  <c r="D22" i="9" s="1"/>
  <c r="L9" i="21"/>
  <c r="D41" i="9"/>
  <c r="D20" i="9" s="1"/>
  <c r="L7" i="21"/>
  <c r="D39" i="9"/>
  <c r="D18" i="9" s="1"/>
  <c r="D7" i="12"/>
  <c r="D35" i="10"/>
  <c r="D97" i="10"/>
  <c r="D118" i="10"/>
  <c r="D8" i="12"/>
  <c r="D36" i="10"/>
  <c r="D42" i="10"/>
  <c r="D15" i="12"/>
  <c r="D100" i="10"/>
  <c r="D121" i="10"/>
  <c r="D6" i="12"/>
  <c r="D28" i="10"/>
  <c r="L6" i="21"/>
  <c r="D38" i="9"/>
  <c r="D17" i="9" s="1"/>
  <c r="L18" i="21"/>
  <c r="D50" i="9"/>
  <c r="D29" i="9" s="1"/>
  <c r="L17" i="21"/>
  <c r="D49" i="9"/>
  <c r="D28" i="9" s="1"/>
  <c r="L14" i="21"/>
  <c r="D46" i="9"/>
  <c r="D25" i="9" s="1"/>
  <c r="D98" i="10"/>
  <c r="D119" i="10"/>
  <c r="D9" i="12"/>
  <c r="D37" i="10"/>
  <c r="L8" i="21"/>
  <c r="D40" i="9"/>
  <c r="D19" i="9" s="1"/>
  <c r="D27" i="10"/>
  <c r="D5" i="12"/>
  <c r="D13" i="12"/>
  <c r="D40" i="10"/>
  <c r="D17" i="12"/>
  <c r="D43" i="10"/>
  <c r="K13" i="21"/>
  <c r="C11" i="2"/>
  <c r="C45" i="9"/>
  <c r="C24" i="9" s="1"/>
  <c r="K6" i="21"/>
  <c r="C4" i="2"/>
  <c r="C38" i="9"/>
  <c r="C17" i="9" s="1"/>
  <c r="K16" i="21"/>
  <c r="C48" i="9"/>
  <c r="C27" i="9" s="1"/>
  <c r="C14" i="2"/>
  <c r="K10" i="21"/>
  <c r="C8" i="2"/>
  <c r="C42" i="9"/>
  <c r="C21" i="9" s="1"/>
  <c r="L9" i="4"/>
  <c r="O9" i="4"/>
  <c r="K7" i="21"/>
  <c r="C5" i="2"/>
  <c r="C39" i="9"/>
  <c r="C18" i="9" s="1"/>
  <c r="D227" i="21"/>
  <c r="C200" i="2"/>
  <c r="B97" i="4" s="1"/>
  <c r="K8" i="21"/>
  <c r="C40" i="9"/>
  <c r="C19" i="9" s="1"/>
  <c r="C6" i="2"/>
  <c r="K11" i="21"/>
  <c r="C9" i="2"/>
  <c r="C43" i="9"/>
  <c r="C22" i="9" s="1"/>
  <c r="K9" i="21"/>
  <c r="C7" i="2"/>
  <c r="C41" i="9"/>
  <c r="C20" i="9" s="1"/>
  <c r="K18" i="21"/>
  <c r="C16" i="2"/>
  <c r="C50" i="9"/>
  <c r="C29" i="9" s="1"/>
  <c r="K17" i="21"/>
  <c r="C15" i="2"/>
  <c r="C49" i="9"/>
  <c r="C28" i="9" s="1"/>
  <c r="K14" i="21"/>
  <c r="C12" i="2"/>
  <c r="C46" i="9"/>
  <c r="C25" i="9" s="1"/>
  <c r="F37" i="21"/>
  <c r="F62" i="21" s="1"/>
  <c r="E118" i="10"/>
  <c r="E97" i="10"/>
  <c r="E36" i="10"/>
  <c r="E8" i="12"/>
  <c r="F15" i="12"/>
  <c r="F42" i="10"/>
  <c r="E42" i="10"/>
  <c r="E15" i="12"/>
  <c r="H98" i="10"/>
  <c r="H119" i="10"/>
  <c r="H37" i="10"/>
  <c r="H9" i="12"/>
  <c r="D11" i="12"/>
  <c r="D31" i="10"/>
  <c r="D29" i="10"/>
  <c r="D12" i="12"/>
  <c r="I16" i="21"/>
  <c r="K16" i="20"/>
  <c r="P18" i="21"/>
  <c r="K18" i="20"/>
  <c r="I17" i="21"/>
  <c r="I13" i="21"/>
  <c r="K13" i="20"/>
  <c r="I15" i="21"/>
  <c r="K15" i="20"/>
  <c r="I14" i="21"/>
  <c r="K14" i="20"/>
  <c r="G91" i="20"/>
  <c r="I37" i="21"/>
  <c r="I62" i="21" s="1"/>
  <c r="H37" i="21"/>
  <c r="H62" i="21" s="1"/>
  <c r="N50" i="21"/>
  <c r="L50" i="21"/>
  <c r="M186" i="21"/>
  <c r="E37" i="21"/>
  <c r="H91" i="16"/>
  <c r="D172" i="21"/>
  <c r="P10" i="21"/>
  <c r="L10" i="21"/>
  <c r="N8" i="21"/>
  <c r="N129" i="21"/>
  <c r="M128" i="21"/>
  <c r="L128" i="21"/>
  <c r="G91" i="17"/>
  <c r="C5" i="20"/>
  <c r="C196" i="20" s="1"/>
  <c r="C62" i="20"/>
  <c r="C64" i="20" s="1"/>
  <c r="C19" i="20"/>
  <c r="C157" i="20" l="1"/>
  <c r="C206" i="20"/>
  <c r="I206" i="20" s="1"/>
  <c r="I206" i="21" s="1"/>
  <c r="I227" i="21" s="1"/>
  <c r="C144" i="20"/>
  <c r="C145" i="20"/>
  <c r="I145" i="20" s="1"/>
  <c r="I145" i="21" s="1"/>
  <c r="F179" i="20"/>
  <c r="F188" i="20" s="1"/>
  <c r="F74" i="20"/>
  <c r="C138" i="20"/>
  <c r="C143" i="20"/>
  <c r="C142" i="20"/>
  <c r="P13" i="21"/>
  <c r="H45" i="9"/>
  <c r="H24" i="9" s="1"/>
  <c r="H88" i="10"/>
  <c r="H109" i="10"/>
  <c r="H126" i="10"/>
  <c r="H105" i="10"/>
  <c r="H103" i="10"/>
  <c r="H124" i="10"/>
  <c r="P17" i="21"/>
  <c r="H49" i="9"/>
  <c r="H28" i="9" s="1"/>
  <c r="P16" i="21"/>
  <c r="H48" i="9"/>
  <c r="H27" i="9" s="1"/>
  <c r="P15" i="21"/>
  <c r="H47" i="9"/>
  <c r="H26" i="9" s="1"/>
  <c r="H102" i="10"/>
  <c r="H123" i="10"/>
  <c r="P14" i="21"/>
  <c r="H96" i="10" s="1"/>
  <c r="H46" i="9"/>
  <c r="H25" i="9" s="1"/>
  <c r="H110" i="10"/>
  <c r="H89" i="10"/>
  <c r="D23" i="20"/>
  <c r="G77" i="20"/>
  <c r="E22" i="20"/>
  <c r="E146" i="20" s="1"/>
  <c r="E148" i="20" s="1"/>
  <c r="I74" i="20"/>
  <c r="H122" i="10"/>
  <c r="H101" i="10"/>
  <c r="G110" i="10"/>
  <c r="G89" i="10"/>
  <c r="G126" i="10"/>
  <c r="G105" i="10"/>
  <c r="G109" i="10"/>
  <c r="G88" i="10"/>
  <c r="G124" i="10"/>
  <c r="G103" i="10"/>
  <c r="G122" i="10"/>
  <c r="G101" i="10"/>
  <c r="G111" i="10"/>
  <c r="G90" i="10"/>
  <c r="G123" i="10"/>
  <c r="G102" i="10"/>
  <c r="F125" i="10"/>
  <c r="F104" i="10"/>
  <c r="F101" i="10"/>
  <c r="F122" i="10"/>
  <c r="F123" i="10"/>
  <c r="F102" i="10"/>
  <c r="F111" i="10"/>
  <c r="F90" i="10"/>
  <c r="F89" i="10"/>
  <c r="F110" i="10"/>
  <c r="F105" i="10"/>
  <c r="F126" i="10"/>
  <c r="F88" i="10"/>
  <c r="F109" i="10"/>
  <c r="E113" i="10"/>
  <c r="E92" i="10"/>
  <c r="E89" i="10"/>
  <c r="E110" i="10"/>
  <c r="E101" i="10"/>
  <c r="E122" i="10"/>
  <c r="E123" i="10"/>
  <c r="E102" i="10"/>
  <c r="E126" i="10"/>
  <c r="E105" i="10"/>
  <c r="E109" i="10"/>
  <c r="E88" i="10"/>
  <c r="E111" i="10"/>
  <c r="E90" i="10"/>
  <c r="D101" i="10"/>
  <c r="D122" i="10"/>
  <c r="D104" i="10"/>
  <c r="D125" i="10"/>
  <c r="D110" i="10"/>
  <c r="D89" i="10"/>
  <c r="D88" i="10"/>
  <c r="D109" i="10"/>
  <c r="D124" i="10"/>
  <c r="D103" i="10"/>
  <c r="D123" i="10"/>
  <c r="D102" i="10"/>
  <c r="D9" i="4"/>
  <c r="F103" i="10"/>
  <c r="F124" i="10"/>
  <c r="E124" i="10"/>
  <c r="E103" i="10"/>
  <c r="D90" i="10"/>
  <c r="D111" i="10"/>
  <c r="D113" i="10"/>
  <c r="D92" i="10"/>
  <c r="J30" i="20"/>
  <c r="I19" i="21"/>
  <c r="P152" i="21" s="1"/>
  <c r="I5" i="21"/>
  <c r="I138" i="20"/>
  <c r="I138" i="21" s="1"/>
  <c r="E151" i="20"/>
  <c r="I151" i="20" s="1"/>
  <c r="I151" i="21" s="1"/>
  <c r="C179" i="20"/>
  <c r="I196" i="20"/>
  <c r="I5" i="20"/>
  <c r="E62" i="21"/>
  <c r="N128" i="21"/>
  <c r="O129" i="21"/>
  <c r="C154" i="20"/>
  <c r="I143" i="20"/>
  <c r="C171" i="20"/>
  <c r="I171" i="20" s="1"/>
  <c r="I171" i="21" s="1"/>
  <c r="C153" i="20"/>
  <c r="I153" i="20" s="1"/>
  <c r="I153" i="21" s="1"/>
  <c r="I142" i="20"/>
  <c r="I142" i="21" s="1"/>
  <c r="I157" i="20"/>
  <c r="I157" i="21" s="1"/>
  <c r="C87" i="20"/>
  <c r="I144" i="20"/>
  <c r="I144" i="21" s="1"/>
  <c r="C148" i="20" l="1"/>
  <c r="I143" i="21"/>
  <c r="I196" i="21"/>
  <c r="P19" i="21"/>
  <c r="P20" i="21" s="1"/>
  <c r="H117" i="10"/>
  <c r="D26" i="20"/>
  <c r="I3" i="3"/>
  <c r="H53" i="10"/>
  <c r="G3" i="8"/>
  <c r="P153" i="21"/>
  <c r="I179" i="20"/>
  <c r="O128" i="21"/>
  <c r="P129" i="21"/>
  <c r="P128" i="21" s="1"/>
  <c r="I235" i="20" l="1"/>
  <c r="B229" i="20"/>
  <c r="B228" i="20"/>
  <c r="B227" i="20"/>
  <c r="G220" i="20"/>
  <c r="I213" i="20"/>
  <c r="G213" i="20"/>
  <c r="F213" i="20"/>
  <c r="E213" i="20"/>
  <c r="D213" i="20"/>
  <c r="C213" i="20"/>
  <c r="B213" i="20"/>
  <c r="I229" i="20"/>
  <c r="I227" i="20"/>
  <c r="I189" i="20"/>
  <c r="G189" i="20"/>
  <c r="F189" i="20"/>
  <c r="E189" i="20"/>
  <c r="D189" i="20"/>
  <c r="I164" i="20"/>
  <c r="G164" i="20"/>
  <c r="F164" i="20"/>
  <c r="E164" i="20"/>
  <c r="D164" i="20"/>
  <c r="I137" i="20"/>
  <c r="G137" i="20"/>
  <c r="F137" i="20"/>
  <c r="E137" i="20"/>
  <c r="D137" i="20"/>
  <c r="L130" i="20"/>
  <c r="M130" i="20" s="1"/>
  <c r="L129" i="20"/>
  <c r="K128" i="20"/>
  <c r="E125" i="20"/>
  <c r="D125" i="20"/>
  <c r="D127" i="20" s="1"/>
  <c r="I112" i="21"/>
  <c r="F111" i="20"/>
  <c r="E111" i="20"/>
  <c r="E115" i="20" s="1"/>
  <c r="D111" i="20"/>
  <c r="D115" i="20" s="1"/>
  <c r="D128" i="20" s="1"/>
  <c r="G109" i="20"/>
  <c r="G115" i="20" s="1"/>
  <c r="G128" i="20" s="1"/>
  <c r="F109" i="20"/>
  <c r="D221" i="20"/>
  <c r="G97" i="20"/>
  <c r="F97" i="20"/>
  <c r="E97" i="20"/>
  <c r="D97" i="20"/>
  <c r="B97" i="20"/>
  <c r="G96" i="20"/>
  <c r="F96" i="20"/>
  <c r="E96" i="20"/>
  <c r="D96" i="20"/>
  <c r="B96" i="20"/>
  <c r="G95" i="20"/>
  <c r="F95" i="20"/>
  <c r="E95" i="20"/>
  <c r="D95" i="20"/>
  <c r="B95" i="20"/>
  <c r="G94" i="20"/>
  <c r="F94" i="20"/>
  <c r="E94" i="20"/>
  <c r="B94" i="20"/>
  <c r="G93" i="20"/>
  <c r="F93" i="20"/>
  <c r="E93" i="20"/>
  <c r="D93" i="20"/>
  <c r="B93" i="20"/>
  <c r="G92" i="20"/>
  <c r="F92" i="20"/>
  <c r="E92" i="20"/>
  <c r="B92" i="20"/>
  <c r="F90" i="20"/>
  <c r="E90" i="20"/>
  <c r="D90" i="20"/>
  <c r="G89" i="20"/>
  <c r="F89" i="20"/>
  <c r="D89" i="20"/>
  <c r="B89" i="20"/>
  <c r="G88" i="20"/>
  <c r="F88" i="20"/>
  <c r="D88" i="20"/>
  <c r="B88" i="20"/>
  <c r="G87" i="20"/>
  <c r="E87" i="20"/>
  <c r="D87" i="20"/>
  <c r="B87" i="20"/>
  <c r="K81" i="20"/>
  <c r="K80" i="20"/>
  <c r="K79" i="20"/>
  <c r="M74" i="20"/>
  <c r="I72" i="20"/>
  <c r="G72" i="20"/>
  <c r="F72" i="20"/>
  <c r="E72" i="20"/>
  <c r="D72" i="20"/>
  <c r="G60" i="20"/>
  <c r="G63" i="20" s="1"/>
  <c r="F60" i="20"/>
  <c r="F63" i="20" s="1"/>
  <c r="E60" i="20"/>
  <c r="E63" i="20" s="1"/>
  <c r="D60" i="20"/>
  <c r="D63" i="20" s="1"/>
  <c r="I58" i="21"/>
  <c r="I50" i="21"/>
  <c r="I45" i="21"/>
  <c r="I44" i="21"/>
  <c r="I39" i="20"/>
  <c r="G39" i="20"/>
  <c r="F39" i="20"/>
  <c r="E39" i="20"/>
  <c r="D39" i="20"/>
  <c r="G37" i="20"/>
  <c r="G134" i="20" s="1"/>
  <c r="F37" i="20"/>
  <c r="E37" i="20"/>
  <c r="D37" i="20"/>
  <c r="I108" i="21"/>
  <c r="P108" i="21" s="1"/>
  <c r="G19" i="20"/>
  <c r="F19" i="20"/>
  <c r="E19" i="20"/>
  <c r="D19" i="20"/>
  <c r="K12" i="20"/>
  <c r="K11" i="20"/>
  <c r="K10" i="20"/>
  <c r="K9" i="20"/>
  <c r="K8" i="20"/>
  <c r="K7" i="20"/>
  <c r="K6" i="20"/>
  <c r="C150" i="19"/>
  <c r="I150" i="19" s="1"/>
  <c r="D125" i="19"/>
  <c r="E125" i="19"/>
  <c r="D109" i="19"/>
  <c r="I195" i="19"/>
  <c r="H195" i="21" s="1"/>
  <c r="I193" i="19"/>
  <c r="H193" i="21" s="1"/>
  <c r="I192" i="19"/>
  <c r="H192" i="21" s="1"/>
  <c r="I191" i="19"/>
  <c r="H191" i="21" s="1"/>
  <c r="I190" i="19"/>
  <c r="H190" i="21" s="1"/>
  <c r="C189" i="19"/>
  <c r="C164" i="19"/>
  <c r="H133" i="21"/>
  <c r="C125" i="19"/>
  <c r="C127" i="19" s="1"/>
  <c r="I113" i="19"/>
  <c r="H113" i="21" s="1"/>
  <c r="C112" i="19"/>
  <c r="I112" i="19" s="1"/>
  <c r="C109" i="19"/>
  <c r="C97" i="19"/>
  <c r="C96" i="19"/>
  <c r="C95" i="19"/>
  <c r="C94" i="19"/>
  <c r="C89" i="19"/>
  <c r="C93" i="19"/>
  <c r="C92" i="19"/>
  <c r="C88" i="19"/>
  <c r="C72" i="19"/>
  <c r="C60" i="19"/>
  <c r="C63" i="19" s="1"/>
  <c r="C39" i="19"/>
  <c r="C37" i="19"/>
  <c r="I17" i="19"/>
  <c r="I16" i="19"/>
  <c r="I15" i="19"/>
  <c r="I14" i="19"/>
  <c r="I12" i="19"/>
  <c r="I235" i="19"/>
  <c r="B229" i="19"/>
  <c r="B228" i="19"/>
  <c r="B227" i="19"/>
  <c r="G220" i="19"/>
  <c r="I213" i="19"/>
  <c r="G213" i="19"/>
  <c r="F213" i="19"/>
  <c r="E213" i="19"/>
  <c r="D213" i="19"/>
  <c r="C213" i="19"/>
  <c r="B213" i="19"/>
  <c r="I229" i="19"/>
  <c r="I189" i="19"/>
  <c r="G189" i="19"/>
  <c r="F189" i="19"/>
  <c r="E189" i="19"/>
  <c r="D189" i="19"/>
  <c r="I164" i="19"/>
  <c r="G164" i="19"/>
  <c r="F164" i="19"/>
  <c r="E164" i="19"/>
  <c r="D164" i="19"/>
  <c r="L130" i="19"/>
  <c r="M130" i="19" s="1"/>
  <c r="N130" i="19" s="1"/>
  <c r="O130" i="19" s="1"/>
  <c r="L129" i="19"/>
  <c r="M129" i="19" s="1"/>
  <c r="K128" i="19"/>
  <c r="H112" i="21"/>
  <c r="F111" i="19"/>
  <c r="E111" i="19"/>
  <c r="E115" i="19" s="1"/>
  <c r="D111" i="19"/>
  <c r="G109" i="19"/>
  <c r="G115" i="19" s="1"/>
  <c r="G128" i="19" s="1"/>
  <c r="F109" i="19"/>
  <c r="F97" i="19"/>
  <c r="E97" i="19"/>
  <c r="D97" i="19"/>
  <c r="B97" i="19"/>
  <c r="F96" i="19"/>
  <c r="E96" i="19"/>
  <c r="D96" i="19"/>
  <c r="B96" i="19"/>
  <c r="F95" i="19"/>
  <c r="E95" i="19"/>
  <c r="D95" i="19"/>
  <c r="B95" i="19"/>
  <c r="F94" i="19"/>
  <c r="E94" i="19"/>
  <c r="B94" i="19"/>
  <c r="F93" i="19"/>
  <c r="E93" i="19"/>
  <c r="D93" i="19"/>
  <c r="B93" i="19"/>
  <c r="F92" i="19"/>
  <c r="E92" i="19"/>
  <c r="B92" i="19"/>
  <c r="F90" i="19"/>
  <c r="E90" i="19"/>
  <c r="D90" i="19"/>
  <c r="F89" i="19"/>
  <c r="D89" i="19"/>
  <c r="B89" i="19"/>
  <c r="F88" i="19"/>
  <c r="D88" i="19"/>
  <c r="B88" i="19"/>
  <c r="G87" i="19"/>
  <c r="E87" i="19"/>
  <c r="D87" i="19"/>
  <c r="B87" i="19"/>
  <c r="K81" i="19"/>
  <c r="K80" i="19"/>
  <c r="K79" i="19"/>
  <c r="M74" i="19"/>
  <c r="I72" i="19"/>
  <c r="G72" i="19"/>
  <c r="F72" i="19"/>
  <c r="E72" i="19"/>
  <c r="D72" i="19"/>
  <c r="G63" i="19"/>
  <c r="F60" i="19"/>
  <c r="F63" i="19" s="1"/>
  <c r="E60" i="19"/>
  <c r="E63" i="19" s="1"/>
  <c r="D60" i="19"/>
  <c r="D63" i="19" s="1"/>
  <c r="H58" i="21"/>
  <c r="H50" i="21"/>
  <c r="H45" i="21"/>
  <c r="I39" i="19"/>
  <c r="G39" i="19"/>
  <c r="F39" i="19"/>
  <c r="E39" i="19"/>
  <c r="D39" i="19"/>
  <c r="G37" i="19"/>
  <c r="F37" i="19"/>
  <c r="E37" i="19"/>
  <c r="D37" i="19"/>
  <c r="G19" i="19"/>
  <c r="F19" i="19"/>
  <c r="E19" i="19"/>
  <c r="D19" i="19"/>
  <c r="K11" i="19"/>
  <c r="K10" i="19"/>
  <c r="K9" i="19"/>
  <c r="K8" i="19"/>
  <c r="K7" i="19"/>
  <c r="K6" i="19"/>
  <c r="C170" i="18"/>
  <c r="M10" i="3"/>
  <c r="D125" i="18"/>
  <c r="E125" i="18"/>
  <c r="D111" i="18"/>
  <c r="E111" i="18"/>
  <c r="E115" i="18" s="1"/>
  <c r="F111" i="18"/>
  <c r="D109" i="18"/>
  <c r="I195" i="18"/>
  <c r="G195" i="21" s="1"/>
  <c r="I193" i="18"/>
  <c r="G193" i="21" s="1"/>
  <c r="I192" i="18"/>
  <c r="G192" i="21" s="1"/>
  <c r="I191" i="18"/>
  <c r="G191" i="21" s="1"/>
  <c r="I190" i="18"/>
  <c r="G190" i="21" s="1"/>
  <c r="N191" i="21" s="1"/>
  <c r="C189" i="18"/>
  <c r="C164" i="18"/>
  <c r="C137" i="18"/>
  <c r="C125" i="18"/>
  <c r="C127" i="18" s="1"/>
  <c r="I113" i="18"/>
  <c r="G113" i="21" s="1"/>
  <c r="C109" i="18"/>
  <c r="C104" i="19"/>
  <c r="I104" i="19" s="1"/>
  <c r="C97" i="18"/>
  <c r="C96" i="18"/>
  <c r="C95" i="18"/>
  <c r="C92" i="18"/>
  <c r="C94" i="18"/>
  <c r="C93" i="18"/>
  <c r="C90" i="18"/>
  <c r="C89" i="18"/>
  <c r="C88" i="18"/>
  <c r="C72" i="18"/>
  <c r="C60" i="18"/>
  <c r="C63" i="18" s="1"/>
  <c r="C39" i="18"/>
  <c r="C37" i="18"/>
  <c r="I15" i="18"/>
  <c r="I14" i="18"/>
  <c r="I13" i="18"/>
  <c r="I12" i="18"/>
  <c r="G12" i="21" s="1"/>
  <c r="I235" i="18"/>
  <c r="B229" i="18"/>
  <c r="B228" i="18"/>
  <c r="B227" i="18"/>
  <c r="G220" i="18"/>
  <c r="I213" i="18"/>
  <c r="G213" i="18"/>
  <c r="F213" i="18"/>
  <c r="E213" i="18"/>
  <c r="D213" i="18"/>
  <c r="C213" i="18"/>
  <c r="B213" i="18"/>
  <c r="I209" i="18"/>
  <c r="I208" i="18"/>
  <c r="I189" i="18"/>
  <c r="G189" i="18"/>
  <c r="F189" i="18"/>
  <c r="E189" i="18"/>
  <c r="D189" i="18"/>
  <c r="I164" i="18"/>
  <c r="G164" i="18"/>
  <c r="F164" i="18"/>
  <c r="E164" i="18"/>
  <c r="D164" i="18"/>
  <c r="G150" i="21"/>
  <c r="I137" i="18"/>
  <c r="G137" i="18"/>
  <c r="F137" i="18"/>
  <c r="E137" i="18"/>
  <c r="D137" i="18"/>
  <c r="L130" i="18"/>
  <c r="M130" i="18" s="1"/>
  <c r="N130" i="18" s="1"/>
  <c r="O130" i="18" s="1"/>
  <c r="L129" i="18"/>
  <c r="K128" i="18"/>
  <c r="G112" i="21"/>
  <c r="G109" i="18"/>
  <c r="G115" i="18" s="1"/>
  <c r="G128" i="18" s="1"/>
  <c r="F109" i="18"/>
  <c r="F115" i="18" s="1"/>
  <c r="F128" i="18" s="1"/>
  <c r="G97" i="18"/>
  <c r="F97" i="18"/>
  <c r="E97" i="18"/>
  <c r="D97" i="18"/>
  <c r="B97" i="18"/>
  <c r="G96" i="18"/>
  <c r="F96" i="18"/>
  <c r="E96" i="18"/>
  <c r="D96" i="18"/>
  <c r="B96" i="18"/>
  <c r="G95" i="18"/>
  <c r="F95" i="18"/>
  <c r="E95" i="18"/>
  <c r="D95" i="18"/>
  <c r="B95" i="18"/>
  <c r="G94" i="18"/>
  <c r="F94" i="18"/>
  <c r="E94" i="18"/>
  <c r="B94" i="18"/>
  <c r="G93" i="18"/>
  <c r="F93" i="18"/>
  <c r="E93" i="18"/>
  <c r="D93" i="18"/>
  <c r="B93" i="18"/>
  <c r="G92" i="18"/>
  <c r="F92" i="18"/>
  <c r="E92" i="18"/>
  <c r="B92" i="18"/>
  <c r="F90" i="18"/>
  <c r="E90" i="18"/>
  <c r="D90" i="18"/>
  <c r="G89" i="18"/>
  <c r="F89" i="18"/>
  <c r="D89" i="18"/>
  <c r="B89" i="18"/>
  <c r="G88" i="18"/>
  <c r="F88" i="18"/>
  <c r="D88" i="18"/>
  <c r="B88" i="18"/>
  <c r="G87" i="18"/>
  <c r="E87" i="18"/>
  <c r="D87" i="18"/>
  <c r="B87" i="18"/>
  <c r="K81" i="18"/>
  <c r="K80" i="18"/>
  <c r="K79" i="18"/>
  <c r="M74" i="18"/>
  <c r="I72" i="18"/>
  <c r="G72" i="18"/>
  <c r="F72" i="18"/>
  <c r="E72" i="18"/>
  <c r="D72" i="18"/>
  <c r="G60" i="18"/>
  <c r="G63" i="18" s="1"/>
  <c r="F60" i="18"/>
  <c r="F63" i="18" s="1"/>
  <c r="E60" i="18"/>
  <c r="E63" i="18" s="1"/>
  <c r="D60" i="18"/>
  <c r="D63" i="18" s="1"/>
  <c r="G58" i="21"/>
  <c r="G45" i="21"/>
  <c r="I39" i="18"/>
  <c r="G39" i="18"/>
  <c r="F39" i="18"/>
  <c r="E39" i="18"/>
  <c r="D39" i="18"/>
  <c r="G37" i="18"/>
  <c r="G134" i="18" s="1"/>
  <c r="F37" i="18"/>
  <c r="E37" i="18"/>
  <c r="D37" i="18"/>
  <c r="G37" i="21"/>
  <c r="G62" i="21" s="1"/>
  <c r="G19" i="18"/>
  <c r="F19" i="18"/>
  <c r="E19" i="18"/>
  <c r="D19" i="18"/>
  <c r="K11" i="18"/>
  <c r="K10" i="18"/>
  <c r="K9" i="18"/>
  <c r="K8" i="18"/>
  <c r="K7" i="18"/>
  <c r="C155" i="17"/>
  <c r="M9" i="3"/>
  <c r="D125" i="17"/>
  <c r="E125" i="17"/>
  <c r="E127" i="17" s="1"/>
  <c r="D111" i="17"/>
  <c r="E111" i="17"/>
  <c r="E115" i="17" s="1"/>
  <c r="E128" i="17" s="1"/>
  <c r="F111" i="17"/>
  <c r="D109" i="17"/>
  <c r="C102" i="20"/>
  <c r="I102" i="20" s="1"/>
  <c r="I195" i="17"/>
  <c r="F195" i="21" s="1"/>
  <c r="I193" i="17"/>
  <c r="F193" i="21" s="1"/>
  <c r="I192" i="17"/>
  <c r="F192" i="21" s="1"/>
  <c r="I191" i="17"/>
  <c r="F191" i="21" s="1"/>
  <c r="I190" i="17"/>
  <c r="F190" i="21" s="1"/>
  <c r="M191" i="21" s="1"/>
  <c r="C189" i="17"/>
  <c r="C164" i="17"/>
  <c r="C137" i="17"/>
  <c r="F133" i="21"/>
  <c r="C125" i="17"/>
  <c r="C127" i="17" s="1"/>
  <c r="F113" i="21"/>
  <c r="C109" i="17"/>
  <c r="C97" i="17"/>
  <c r="C96" i="17"/>
  <c r="C95" i="17"/>
  <c r="C94" i="17"/>
  <c r="C89" i="17"/>
  <c r="C93" i="17"/>
  <c r="C92" i="17"/>
  <c r="C88" i="17"/>
  <c r="C72" i="17"/>
  <c r="C60" i="17"/>
  <c r="C63" i="17" s="1"/>
  <c r="C39" i="17"/>
  <c r="C37" i="17"/>
  <c r="I15" i="17"/>
  <c r="C13" i="17"/>
  <c r="I13" i="17" s="1"/>
  <c r="I235" i="17"/>
  <c r="B229" i="17"/>
  <c r="B228" i="17"/>
  <c r="B227" i="17"/>
  <c r="G220" i="17"/>
  <c r="I213" i="17"/>
  <c r="G213" i="17"/>
  <c r="F213" i="17"/>
  <c r="E213" i="17"/>
  <c r="D213" i="17"/>
  <c r="C213" i="17"/>
  <c r="B213" i="17"/>
  <c r="I189" i="17"/>
  <c r="G189" i="17"/>
  <c r="F189" i="17"/>
  <c r="E189" i="17"/>
  <c r="D189" i="17"/>
  <c r="I164" i="17"/>
  <c r="G164" i="17"/>
  <c r="F164" i="17"/>
  <c r="E164" i="17"/>
  <c r="D164" i="17"/>
  <c r="F150" i="21"/>
  <c r="I137" i="17"/>
  <c r="G137" i="17"/>
  <c r="F137" i="17"/>
  <c r="E137" i="17"/>
  <c r="D137" i="17"/>
  <c r="L130" i="17"/>
  <c r="M130" i="17" s="1"/>
  <c r="N130" i="17" s="1"/>
  <c r="O130" i="17" s="1"/>
  <c r="L129" i="17"/>
  <c r="M129" i="17" s="1"/>
  <c r="K128" i="17"/>
  <c r="G109" i="17"/>
  <c r="G115" i="17" s="1"/>
  <c r="G128" i="17" s="1"/>
  <c r="F109" i="17"/>
  <c r="G97" i="17"/>
  <c r="F97" i="17"/>
  <c r="E97" i="17"/>
  <c r="D97" i="17"/>
  <c r="B97" i="17"/>
  <c r="G96" i="17"/>
  <c r="F96" i="17"/>
  <c r="E96" i="17"/>
  <c r="D96" i="17"/>
  <c r="B96" i="17"/>
  <c r="G95" i="17"/>
  <c r="F95" i="17"/>
  <c r="E95" i="17"/>
  <c r="D95" i="17"/>
  <c r="B95" i="17"/>
  <c r="G94" i="17"/>
  <c r="F94" i="17"/>
  <c r="E94" i="17"/>
  <c r="B94" i="17"/>
  <c r="G93" i="17"/>
  <c r="F93" i="17"/>
  <c r="E93" i="17"/>
  <c r="D93" i="17"/>
  <c r="B93" i="17"/>
  <c r="G92" i="17"/>
  <c r="F92" i="17"/>
  <c r="E92" i="17"/>
  <c r="B92" i="17"/>
  <c r="F90" i="17"/>
  <c r="E90" i="17"/>
  <c r="D90" i="17"/>
  <c r="G89" i="17"/>
  <c r="F89" i="17"/>
  <c r="D89" i="17"/>
  <c r="B89" i="17"/>
  <c r="G88" i="17"/>
  <c r="F88" i="17"/>
  <c r="D88" i="17"/>
  <c r="B88" i="17"/>
  <c r="G87" i="17"/>
  <c r="E87" i="17"/>
  <c r="D87" i="17"/>
  <c r="B87" i="17"/>
  <c r="K81" i="17"/>
  <c r="K80" i="17"/>
  <c r="K79" i="17"/>
  <c r="M74" i="17"/>
  <c r="I72" i="17"/>
  <c r="G72" i="17"/>
  <c r="F72" i="17"/>
  <c r="E72" i="17"/>
  <c r="D72" i="17"/>
  <c r="G60" i="17"/>
  <c r="G63" i="17" s="1"/>
  <c r="F60" i="17"/>
  <c r="F63" i="17" s="1"/>
  <c r="E60" i="17"/>
  <c r="E63" i="17" s="1"/>
  <c r="D60" i="17"/>
  <c r="D63" i="17" s="1"/>
  <c r="F58" i="21"/>
  <c r="F50" i="21"/>
  <c r="I39" i="17"/>
  <c r="G39" i="17"/>
  <c r="F39" i="17"/>
  <c r="E39" i="17"/>
  <c r="D39" i="17"/>
  <c r="G37" i="17"/>
  <c r="F37" i="17"/>
  <c r="E37" i="17"/>
  <c r="D37" i="17"/>
  <c r="G19" i="17"/>
  <c r="F19" i="17"/>
  <c r="E19" i="17"/>
  <c r="D19" i="17"/>
  <c r="K11" i="17"/>
  <c r="K10" i="17"/>
  <c r="K9" i="17"/>
  <c r="K8" i="17"/>
  <c r="K7" i="17"/>
  <c r="D109" i="16"/>
  <c r="C200" i="16"/>
  <c r="C199" i="16"/>
  <c r="C194" i="16"/>
  <c r="C180" i="16"/>
  <c r="J180" i="16" s="1"/>
  <c r="C166" i="16"/>
  <c r="C165" i="16"/>
  <c r="M8" i="3"/>
  <c r="C89" i="16"/>
  <c r="C88" i="16"/>
  <c r="J195" i="16"/>
  <c r="E195" i="21" s="1"/>
  <c r="J193" i="16"/>
  <c r="E193" i="21" s="1"/>
  <c r="J192" i="16"/>
  <c r="E192" i="21" s="1"/>
  <c r="J191" i="16"/>
  <c r="E191" i="21" s="1"/>
  <c r="J190" i="16"/>
  <c r="C189" i="16"/>
  <c r="C164" i="16"/>
  <c r="C137" i="16"/>
  <c r="C125" i="16"/>
  <c r="C127" i="16" s="1"/>
  <c r="C116" i="16"/>
  <c r="C113" i="16"/>
  <c r="E111" i="21"/>
  <c r="C109" i="16"/>
  <c r="C97" i="16"/>
  <c r="C95" i="16"/>
  <c r="C94" i="16"/>
  <c r="C93" i="16"/>
  <c r="C92" i="16"/>
  <c r="C72" i="16"/>
  <c r="C60" i="16"/>
  <c r="C63" i="16" s="1"/>
  <c r="C39" i="16"/>
  <c r="C37" i="16"/>
  <c r="J15" i="16"/>
  <c r="J13" i="16"/>
  <c r="J235" i="16"/>
  <c r="B229" i="16"/>
  <c r="B228" i="16"/>
  <c r="B227" i="16"/>
  <c r="H220" i="16"/>
  <c r="F213" i="16"/>
  <c r="E213" i="16"/>
  <c r="D213" i="16"/>
  <c r="C213" i="16"/>
  <c r="B213" i="16"/>
  <c r="J209" i="16"/>
  <c r="J208" i="16"/>
  <c r="J189" i="16"/>
  <c r="F189" i="16"/>
  <c r="E189" i="16"/>
  <c r="D189" i="16"/>
  <c r="J164" i="16"/>
  <c r="H164" i="16"/>
  <c r="F164" i="16"/>
  <c r="E164" i="16"/>
  <c r="D164" i="16"/>
  <c r="E150" i="21"/>
  <c r="J137" i="16"/>
  <c r="H137" i="16"/>
  <c r="F137" i="16"/>
  <c r="E137" i="16"/>
  <c r="D137" i="16"/>
  <c r="M130" i="16"/>
  <c r="N130" i="16" s="1"/>
  <c r="O130" i="16" s="1"/>
  <c r="P130" i="16" s="1"/>
  <c r="M129" i="16"/>
  <c r="N129" i="16" s="1"/>
  <c r="L128" i="16"/>
  <c r="E125" i="16"/>
  <c r="E127" i="16" s="1"/>
  <c r="E128" i="16" s="1"/>
  <c r="D125" i="16"/>
  <c r="J116" i="16"/>
  <c r="H116" i="16"/>
  <c r="F116" i="16"/>
  <c r="E116" i="16"/>
  <c r="D116" i="16"/>
  <c r="F112" i="16"/>
  <c r="J112" i="16" s="1"/>
  <c r="H109" i="16"/>
  <c r="H115" i="16" s="1"/>
  <c r="H128" i="16" s="1"/>
  <c r="F109" i="16"/>
  <c r="H97" i="16"/>
  <c r="F97" i="16"/>
  <c r="E97" i="16"/>
  <c r="D97" i="16"/>
  <c r="B97" i="16"/>
  <c r="H96" i="16"/>
  <c r="F96" i="16"/>
  <c r="E96" i="16"/>
  <c r="D96" i="16"/>
  <c r="B96" i="16"/>
  <c r="H95" i="16"/>
  <c r="F95" i="16"/>
  <c r="E95" i="16"/>
  <c r="D95" i="16"/>
  <c r="B95" i="16"/>
  <c r="H94" i="16"/>
  <c r="F94" i="16"/>
  <c r="E94" i="16"/>
  <c r="B94" i="16"/>
  <c r="H93" i="16"/>
  <c r="F93" i="16"/>
  <c r="E93" i="16"/>
  <c r="D93" i="16"/>
  <c r="B93" i="16"/>
  <c r="H92" i="16"/>
  <c r="F92" i="16"/>
  <c r="E92" i="16"/>
  <c r="B92" i="16"/>
  <c r="F90" i="16"/>
  <c r="E90" i="16"/>
  <c r="D90" i="16"/>
  <c r="H89" i="16"/>
  <c r="F89" i="16"/>
  <c r="D89" i="16"/>
  <c r="B89" i="16"/>
  <c r="H88" i="16"/>
  <c r="F88" i="16"/>
  <c r="D88" i="16"/>
  <c r="B88" i="16"/>
  <c r="H87" i="16"/>
  <c r="E87" i="16"/>
  <c r="D87" i="16"/>
  <c r="B87" i="16"/>
  <c r="L81" i="16"/>
  <c r="L80" i="16"/>
  <c r="L79" i="16"/>
  <c r="N74" i="16"/>
  <c r="J72" i="16"/>
  <c r="H72" i="16"/>
  <c r="F72" i="16"/>
  <c r="E72" i="16"/>
  <c r="D72" i="16"/>
  <c r="H60" i="16"/>
  <c r="H63" i="16" s="1"/>
  <c r="F60" i="16"/>
  <c r="F63" i="16" s="1"/>
  <c r="E60" i="16"/>
  <c r="E63" i="16" s="1"/>
  <c r="D60" i="16"/>
  <c r="D63" i="16" s="1"/>
  <c r="E58" i="21"/>
  <c r="E51" i="21"/>
  <c r="J39" i="16"/>
  <c r="H39" i="16"/>
  <c r="F39" i="16"/>
  <c r="E39" i="16"/>
  <c r="D39" i="16"/>
  <c r="H37" i="16"/>
  <c r="H134" i="16" s="1"/>
  <c r="F37" i="16"/>
  <c r="F134" i="16" s="1"/>
  <c r="E37" i="16"/>
  <c r="E134" i="16" s="1"/>
  <c r="D37" i="16"/>
  <c r="D134" i="16" s="1"/>
  <c r="H19" i="16"/>
  <c r="F19" i="16"/>
  <c r="E19" i="16"/>
  <c r="D19" i="16"/>
  <c r="L11" i="16"/>
  <c r="L10" i="16"/>
  <c r="L9" i="16"/>
  <c r="L8" i="16"/>
  <c r="L7" i="16"/>
  <c r="D194" i="21"/>
  <c r="C188" i="2" s="1"/>
  <c r="B90" i="4" s="1"/>
  <c r="D197" i="21"/>
  <c r="D198" i="21"/>
  <c r="C192" i="2" s="1"/>
  <c r="B94" i="4" s="1"/>
  <c r="D199" i="21"/>
  <c r="C193" i="2" s="1"/>
  <c r="B95" i="4" s="1"/>
  <c r="D200" i="21"/>
  <c r="C194" i="2" s="1"/>
  <c r="B96" i="4" s="1"/>
  <c r="D220" i="15"/>
  <c r="D221" i="15"/>
  <c r="H221" i="15"/>
  <c r="D195" i="21"/>
  <c r="C189" i="2" s="1"/>
  <c r="B91" i="4" s="1"/>
  <c r="D193" i="21"/>
  <c r="C187" i="2" s="1"/>
  <c r="B89" i="4" s="1"/>
  <c r="D192" i="21"/>
  <c r="C186" i="2" s="1"/>
  <c r="B88" i="4" s="1"/>
  <c r="D191" i="21"/>
  <c r="C185" i="2" s="1"/>
  <c r="B87" i="4" s="1"/>
  <c r="C176" i="16"/>
  <c r="D175" i="21"/>
  <c r="C169" i="2" s="1"/>
  <c r="B76" i="4" s="1"/>
  <c r="D111" i="21"/>
  <c r="C109" i="2" s="1"/>
  <c r="B28" i="4" s="1"/>
  <c r="D103" i="21"/>
  <c r="J235" i="15"/>
  <c r="B229" i="15"/>
  <c r="B228" i="15"/>
  <c r="B227" i="15"/>
  <c r="H220" i="15"/>
  <c r="E220" i="15"/>
  <c r="J213" i="15"/>
  <c r="H213" i="15"/>
  <c r="F213" i="15"/>
  <c r="E213" i="15"/>
  <c r="D213" i="15"/>
  <c r="C213" i="15"/>
  <c r="B213" i="15"/>
  <c r="D190" i="21"/>
  <c r="D133" i="21"/>
  <c r="C130" i="2" s="1"/>
  <c r="B45" i="4" s="1"/>
  <c r="M130" i="15"/>
  <c r="N130" i="15" s="1"/>
  <c r="O130" i="15" s="1"/>
  <c r="P130" i="15" s="1"/>
  <c r="M129" i="15"/>
  <c r="L128" i="15"/>
  <c r="L81" i="15"/>
  <c r="L80" i="15"/>
  <c r="L79" i="15"/>
  <c r="N74" i="15"/>
  <c r="C53" i="2"/>
  <c r="D54" i="21"/>
  <c r="C52" i="2" s="1"/>
  <c r="D53" i="21"/>
  <c r="D52" i="21"/>
  <c r="D51" i="21"/>
  <c r="D50" i="21"/>
  <c r="D49" i="21"/>
  <c r="D48" i="21"/>
  <c r="D47" i="21"/>
  <c r="D46" i="21"/>
  <c r="C44" i="2" s="1"/>
  <c r="D45" i="21"/>
  <c r="C43" i="2" s="1"/>
  <c r="D44" i="21"/>
  <c r="C42" i="2" s="1"/>
  <c r="D42" i="21"/>
  <c r="D41" i="21"/>
  <c r="D36" i="21"/>
  <c r="C34" i="2" s="1"/>
  <c r="D35" i="21"/>
  <c r="C33" i="2" s="1"/>
  <c r="D34" i="21"/>
  <c r="C32" i="2" s="1"/>
  <c r="D33" i="21"/>
  <c r="C31" i="2" s="1"/>
  <c r="D32" i="21"/>
  <c r="C30" i="2" s="1"/>
  <c r="D31" i="21"/>
  <c r="D30" i="21"/>
  <c r="D25" i="21"/>
  <c r="C23" i="2" s="1"/>
  <c r="D24" i="21"/>
  <c r="C22" i="2" s="1"/>
  <c r="L18" i="15"/>
  <c r="L17" i="15"/>
  <c r="L16" i="15"/>
  <c r="L14" i="15"/>
  <c r="L13" i="15"/>
  <c r="L11" i="15"/>
  <c r="L10" i="15"/>
  <c r="L9" i="15"/>
  <c r="L8" i="15"/>
  <c r="L7" i="15"/>
  <c r="L6" i="15"/>
  <c r="I22" i="14"/>
  <c r="C22" i="21" s="1"/>
  <c r="I208" i="14"/>
  <c r="I209" i="14"/>
  <c r="I191" i="14"/>
  <c r="C191" i="21" s="1"/>
  <c r="I192" i="14"/>
  <c r="C192" i="21" s="1"/>
  <c r="I193" i="14"/>
  <c r="C193" i="21" s="1"/>
  <c r="I194" i="14"/>
  <c r="C194" i="21" s="1"/>
  <c r="I195" i="14"/>
  <c r="C195" i="21" s="1"/>
  <c r="I196" i="14"/>
  <c r="C196" i="21" s="1"/>
  <c r="I197" i="14"/>
  <c r="C197" i="21" s="1"/>
  <c r="I198" i="14"/>
  <c r="C198" i="21" s="1"/>
  <c r="I199" i="14"/>
  <c r="C199" i="21" s="1"/>
  <c r="I200" i="14"/>
  <c r="C200" i="21" s="1"/>
  <c r="I190" i="14"/>
  <c r="C190" i="21" s="1"/>
  <c r="C187" i="21"/>
  <c r="I179" i="14"/>
  <c r="C179" i="21" s="1"/>
  <c r="I175" i="14"/>
  <c r="C175" i="21" s="1"/>
  <c r="I176" i="14"/>
  <c r="C176" i="21" s="1"/>
  <c r="I174" i="14"/>
  <c r="C174" i="21" s="1"/>
  <c r="I165" i="14"/>
  <c r="C165" i="21" s="1"/>
  <c r="I150" i="14"/>
  <c r="C150" i="21" s="1"/>
  <c r="C133" i="21"/>
  <c r="C131" i="21"/>
  <c r="C132" i="21"/>
  <c r="I118" i="14"/>
  <c r="C118" i="21" s="1"/>
  <c r="I119" i="14"/>
  <c r="C119" i="21" s="1"/>
  <c r="I120" i="14"/>
  <c r="C120" i="21" s="1"/>
  <c r="I121" i="14"/>
  <c r="C121" i="21" s="1"/>
  <c r="I122" i="14"/>
  <c r="C122" i="21" s="1"/>
  <c r="I123" i="14"/>
  <c r="C124" i="21" s="1"/>
  <c r="I126" i="14"/>
  <c r="C126" i="21" s="1"/>
  <c r="I117" i="14"/>
  <c r="C117" i="21" s="1"/>
  <c r="C104" i="21"/>
  <c r="C107" i="21"/>
  <c r="C109" i="21"/>
  <c r="C110" i="21"/>
  <c r="C114" i="21"/>
  <c r="I102" i="14"/>
  <c r="C102" i="21" s="1"/>
  <c r="I90" i="14"/>
  <c r="C90" i="21" s="1"/>
  <c r="I94" i="14"/>
  <c r="C94" i="21" s="1"/>
  <c r="I75" i="14"/>
  <c r="C75" i="21" s="1"/>
  <c r="I76" i="14"/>
  <c r="C76" i="21" s="1"/>
  <c r="I77" i="14"/>
  <c r="C77" i="21" s="1"/>
  <c r="I79" i="14"/>
  <c r="C79" i="21" s="1"/>
  <c r="I80" i="14"/>
  <c r="C80" i="21" s="1"/>
  <c r="I81" i="14"/>
  <c r="C81" i="21" s="1"/>
  <c r="I82" i="14"/>
  <c r="C82" i="21" s="1"/>
  <c r="I83" i="14"/>
  <c r="C83" i="21" s="1"/>
  <c r="I84" i="14"/>
  <c r="C84" i="21" s="1"/>
  <c r="I42" i="14"/>
  <c r="C42" i="21" s="1"/>
  <c r="I44" i="14"/>
  <c r="C44" i="21" s="1"/>
  <c r="I45" i="14"/>
  <c r="C45" i="21" s="1"/>
  <c r="I46" i="14"/>
  <c r="C46" i="21" s="1"/>
  <c r="I47" i="14"/>
  <c r="C47" i="21" s="1"/>
  <c r="I48" i="14"/>
  <c r="C48" i="21" s="1"/>
  <c r="I49" i="14"/>
  <c r="C49" i="21" s="1"/>
  <c r="I50" i="14"/>
  <c r="C50" i="21" s="1"/>
  <c r="I51" i="14"/>
  <c r="C51" i="21" s="1"/>
  <c r="I52" i="14"/>
  <c r="C52" i="21" s="1"/>
  <c r="I53" i="14"/>
  <c r="C53" i="21" s="1"/>
  <c r="I54" i="14"/>
  <c r="C54" i="21" s="1"/>
  <c r="I55" i="14"/>
  <c r="C55" i="21" s="1"/>
  <c r="I56" i="14"/>
  <c r="C56" i="21" s="1"/>
  <c r="I57" i="14"/>
  <c r="C57" i="21" s="1"/>
  <c r="I58" i="14"/>
  <c r="C58" i="21" s="1"/>
  <c r="I59" i="14"/>
  <c r="C59" i="21" s="1"/>
  <c r="I41" i="14"/>
  <c r="C41" i="21" s="1"/>
  <c r="I30" i="14"/>
  <c r="C30" i="21" s="1"/>
  <c r="I31" i="14"/>
  <c r="C31" i="21" s="1"/>
  <c r="I32" i="14"/>
  <c r="C32" i="21" s="1"/>
  <c r="I33" i="14"/>
  <c r="C33" i="21" s="1"/>
  <c r="I34" i="14"/>
  <c r="C34" i="21" s="1"/>
  <c r="I35" i="14"/>
  <c r="C35" i="21" s="1"/>
  <c r="I36" i="14"/>
  <c r="C36" i="21" s="1"/>
  <c r="I25" i="14"/>
  <c r="C25" i="21" s="1"/>
  <c r="I26" i="14"/>
  <c r="C26" i="21" s="1"/>
  <c r="I24" i="14"/>
  <c r="C24" i="21" s="1"/>
  <c r="I23" i="14"/>
  <c r="C23" i="21" s="1"/>
  <c r="I7" i="14"/>
  <c r="I8" i="14"/>
  <c r="C8" i="21" s="1"/>
  <c r="I9" i="14"/>
  <c r="I10" i="14"/>
  <c r="I11" i="14"/>
  <c r="I12" i="14"/>
  <c r="I13" i="14"/>
  <c r="I14" i="14"/>
  <c r="I15" i="14"/>
  <c r="I16" i="14"/>
  <c r="I17" i="14"/>
  <c r="I18" i="14"/>
  <c r="I6" i="14"/>
  <c r="I2" i="14"/>
  <c r="C2" i="21" s="1"/>
  <c r="B229" i="14"/>
  <c r="B228" i="14"/>
  <c r="B227" i="14"/>
  <c r="I213" i="14"/>
  <c r="H213" i="14"/>
  <c r="F213" i="14"/>
  <c r="E213" i="14"/>
  <c r="D213" i="14"/>
  <c r="C213" i="14"/>
  <c r="B213" i="14"/>
  <c r="I189" i="14"/>
  <c r="H189" i="14"/>
  <c r="F189" i="14"/>
  <c r="E189" i="14"/>
  <c r="D189" i="14"/>
  <c r="C189" i="14"/>
  <c r="C188" i="14"/>
  <c r="C177" i="14"/>
  <c r="D172" i="14"/>
  <c r="I164" i="14"/>
  <c r="H164" i="14"/>
  <c r="F164" i="14"/>
  <c r="E164" i="14"/>
  <c r="D164" i="14"/>
  <c r="C164" i="14"/>
  <c r="C146" i="14"/>
  <c r="I146" i="14" s="1"/>
  <c r="C146" i="21" s="1"/>
  <c r="I137" i="14"/>
  <c r="H137" i="14"/>
  <c r="F137" i="14"/>
  <c r="E137" i="14"/>
  <c r="D137" i="14"/>
  <c r="C137" i="14"/>
  <c r="L130" i="14"/>
  <c r="M130" i="14" s="1"/>
  <c r="N130" i="14" s="1"/>
  <c r="O130" i="14" s="1"/>
  <c r="L129" i="14"/>
  <c r="M129" i="14" s="1"/>
  <c r="K128" i="14"/>
  <c r="H127" i="14"/>
  <c r="F127" i="14"/>
  <c r="E127" i="14"/>
  <c r="D127" i="14"/>
  <c r="C125" i="14"/>
  <c r="I125" i="14" s="1"/>
  <c r="C125" i="21" s="1"/>
  <c r="I116" i="14"/>
  <c r="H116" i="14"/>
  <c r="F116" i="14"/>
  <c r="E116" i="14"/>
  <c r="D116" i="14"/>
  <c r="C116" i="14"/>
  <c r="C113" i="21"/>
  <c r="C112" i="14"/>
  <c r="C111" i="14"/>
  <c r="C105" i="14"/>
  <c r="C103" i="21"/>
  <c r="I101" i="14"/>
  <c r="H101" i="14"/>
  <c r="F101" i="14"/>
  <c r="E101" i="14"/>
  <c r="D101" i="14"/>
  <c r="C101" i="14"/>
  <c r="I97" i="14"/>
  <c r="C97" i="21" s="1"/>
  <c r="B97" i="14"/>
  <c r="I96" i="14"/>
  <c r="C96" i="21" s="1"/>
  <c r="B96" i="14"/>
  <c r="I95" i="14"/>
  <c r="C95" i="21" s="1"/>
  <c r="B95" i="14"/>
  <c r="B94" i="14"/>
  <c r="I93" i="14"/>
  <c r="C93" i="21" s="1"/>
  <c r="B93" i="14"/>
  <c r="I92" i="14"/>
  <c r="C92" i="21" s="1"/>
  <c r="B92" i="14"/>
  <c r="I89" i="14"/>
  <c r="C89" i="21" s="1"/>
  <c r="B89" i="14"/>
  <c r="I88" i="14"/>
  <c r="C88" i="21" s="1"/>
  <c r="B88" i="14"/>
  <c r="B87" i="14"/>
  <c r="K81" i="14"/>
  <c r="K80" i="14"/>
  <c r="K79" i="14"/>
  <c r="M74" i="14"/>
  <c r="I72" i="14"/>
  <c r="H72" i="14"/>
  <c r="F72" i="14"/>
  <c r="E72" i="14"/>
  <c r="D72" i="14"/>
  <c r="C72" i="14"/>
  <c r="H60" i="14"/>
  <c r="H63" i="14" s="1"/>
  <c r="F60" i="14"/>
  <c r="F63" i="14" s="1"/>
  <c r="E60" i="14"/>
  <c r="E63" i="14" s="1"/>
  <c r="D60" i="14"/>
  <c r="D63" i="14" s="1"/>
  <c r="C60" i="14"/>
  <c r="C63" i="14" s="1"/>
  <c r="N50" i="14"/>
  <c r="M50" i="14"/>
  <c r="L50" i="14"/>
  <c r="K50" i="14"/>
  <c r="I39" i="14"/>
  <c r="H39" i="14"/>
  <c r="F39" i="14"/>
  <c r="E39" i="14"/>
  <c r="D39" i="14"/>
  <c r="C39" i="14"/>
  <c r="H37" i="14"/>
  <c r="F37" i="14"/>
  <c r="E37" i="14"/>
  <c r="E62" i="14" s="1"/>
  <c r="D37" i="14"/>
  <c r="C29" i="14"/>
  <c r="C37" i="14" s="1"/>
  <c r="C19" i="14"/>
  <c r="N18" i="14"/>
  <c r="M18" i="14"/>
  <c r="L18" i="14"/>
  <c r="K18" i="14"/>
  <c r="N17" i="14"/>
  <c r="M17" i="14"/>
  <c r="L17" i="14"/>
  <c r="K17" i="14"/>
  <c r="N16" i="14"/>
  <c r="M16" i="14"/>
  <c r="K16" i="14"/>
  <c r="L16" i="14"/>
  <c r="N15" i="14"/>
  <c r="M15" i="14"/>
  <c r="L15" i="14"/>
  <c r="K15" i="14"/>
  <c r="L14" i="14"/>
  <c r="K14" i="14"/>
  <c r="N14" i="14"/>
  <c r="M13" i="14"/>
  <c r="K13" i="14"/>
  <c r="N13" i="14"/>
  <c r="L13" i="14"/>
  <c r="M12" i="14"/>
  <c r="L12" i="14"/>
  <c r="K12" i="14"/>
  <c r="N11" i="14"/>
  <c r="M11" i="14"/>
  <c r="L11" i="14"/>
  <c r="K11" i="14"/>
  <c r="N10" i="14"/>
  <c r="M10" i="14"/>
  <c r="L10" i="14"/>
  <c r="K10" i="14"/>
  <c r="N9" i="14"/>
  <c r="M9" i="14"/>
  <c r="L9" i="14"/>
  <c r="K9" i="14"/>
  <c r="N8" i="14"/>
  <c r="M8" i="14"/>
  <c r="L8" i="14"/>
  <c r="K8" i="14"/>
  <c r="N7" i="14"/>
  <c r="M7" i="14"/>
  <c r="L7" i="14"/>
  <c r="K7" i="14"/>
  <c r="N6" i="14"/>
  <c r="M6" i="14"/>
  <c r="L6" i="14"/>
  <c r="K6" i="14"/>
  <c r="C5" i="14"/>
  <c r="C206" i="14" s="1"/>
  <c r="I206" i="14" s="1"/>
  <c r="K2" i="14"/>
  <c r="D134" i="17" l="1"/>
  <c r="D131" i="17"/>
  <c r="E134" i="19"/>
  <c r="E131" i="19"/>
  <c r="D134" i="20"/>
  <c r="D131" i="20"/>
  <c r="F134" i="17"/>
  <c r="F131" i="17"/>
  <c r="E134" i="18"/>
  <c r="E131" i="18"/>
  <c r="E220" i="18"/>
  <c r="E127" i="18"/>
  <c r="F62" i="19"/>
  <c r="F134" i="19"/>
  <c r="F131" i="19"/>
  <c r="E220" i="19"/>
  <c r="E127" i="19"/>
  <c r="E134" i="20"/>
  <c r="E131" i="20"/>
  <c r="C101" i="2"/>
  <c r="B20" i="4" s="1"/>
  <c r="D221" i="19"/>
  <c r="D115" i="19"/>
  <c r="D128" i="19" s="1"/>
  <c r="I105" i="14"/>
  <c r="C105" i="21" s="1"/>
  <c r="C184" i="2"/>
  <c r="B86" i="4" s="1"/>
  <c r="K191" i="21"/>
  <c r="G62" i="17"/>
  <c r="G134" i="17"/>
  <c r="F115" i="17"/>
  <c r="F128" i="17" s="1"/>
  <c r="F62" i="18"/>
  <c r="F64" i="18" s="1"/>
  <c r="F154" i="18" s="1"/>
  <c r="F163" i="18" s="1"/>
  <c r="F134" i="18"/>
  <c r="F131" i="18"/>
  <c r="D220" i="18"/>
  <c r="D127" i="18"/>
  <c r="G62" i="19"/>
  <c r="G134" i="19"/>
  <c r="D220" i="19"/>
  <c r="D127" i="19"/>
  <c r="F134" i="20"/>
  <c r="F131" i="20"/>
  <c r="D62" i="19"/>
  <c r="D134" i="19"/>
  <c r="D131" i="19"/>
  <c r="I111" i="14"/>
  <c r="C111" i="21" s="1"/>
  <c r="D220" i="17"/>
  <c r="D127" i="17"/>
  <c r="F115" i="19"/>
  <c r="F128" i="19" s="1"/>
  <c r="O191" i="21"/>
  <c r="E134" i="17"/>
  <c r="E131" i="17"/>
  <c r="I112" i="14"/>
  <c r="C112" i="21" s="1"/>
  <c r="I96" i="20"/>
  <c r="I96" i="21" s="1"/>
  <c r="D221" i="18"/>
  <c r="D115" i="18"/>
  <c r="D128" i="18" s="1"/>
  <c r="E220" i="20"/>
  <c r="E127" i="20"/>
  <c r="E128" i="20" s="1"/>
  <c r="E129" i="20" s="1"/>
  <c r="E128" i="18"/>
  <c r="D134" i="18"/>
  <c r="D131" i="18"/>
  <c r="C191" i="2"/>
  <c r="B93" i="4" s="1"/>
  <c r="K197" i="21"/>
  <c r="C131" i="16"/>
  <c r="C108" i="16"/>
  <c r="C134" i="16"/>
  <c r="D115" i="17"/>
  <c r="D128" i="17" s="1"/>
  <c r="E128" i="19"/>
  <c r="F115" i="20"/>
  <c r="F128" i="20" s="1"/>
  <c r="C134" i="19"/>
  <c r="I134" i="19" s="1"/>
  <c r="C108" i="19"/>
  <c r="I108" i="19" s="1"/>
  <c r="H108" i="21" s="1"/>
  <c r="O108" i="21" s="1"/>
  <c r="P111" i="21" s="1"/>
  <c r="C131" i="19"/>
  <c r="C108" i="18"/>
  <c r="C134" i="18"/>
  <c r="C131" i="18"/>
  <c r="C134" i="17"/>
  <c r="I134" i="17" s="1"/>
  <c r="C108" i="17"/>
  <c r="I108" i="17" s="1"/>
  <c r="C131" i="17"/>
  <c r="E131" i="16"/>
  <c r="F131" i="16"/>
  <c r="H131" i="16"/>
  <c r="D131" i="16"/>
  <c r="J108" i="16"/>
  <c r="E108" i="21" s="1"/>
  <c r="L108" i="21" s="1"/>
  <c r="C194" i="17"/>
  <c r="C194" i="18" s="1"/>
  <c r="E190" i="21"/>
  <c r="L191" i="21" s="1"/>
  <c r="D221" i="16"/>
  <c r="D115" i="16"/>
  <c r="F221" i="16"/>
  <c r="F115" i="16"/>
  <c r="F128" i="16" s="1"/>
  <c r="D220" i="16"/>
  <c r="D127" i="16"/>
  <c r="D128" i="16" s="1"/>
  <c r="H29" i="10"/>
  <c r="H12" i="12"/>
  <c r="I111" i="20"/>
  <c r="H11" i="12"/>
  <c r="H31" i="10"/>
  <c r="H99" i="10"/>
  <c r="H120" i="10"/>
  <c r="H10" i="12"/>
  <c r="H38" i="10"/>
  <c r="H17" i="12"/>
  <c r="H43" i="10"/>
  <c r="G99" i="10"/>
  <c r="G120" i="10"/>
  <c r="G38" i="10"/>
  <c r="G10" i="12"/>
  <c r="G11" i="12"/>
  <c r="G31" i="10"/>
  <c r="F120" i="10"/>
  <c r="F99" i="10"/>
  <c r="F10" i="12"/>
  <c r="F38" i="10"/>
  <c r="N12" i="21"/>
  <c r="F44" i="9"/>
  <c r="F23" i="9" s="1"/>
  <c r="F31" i="10"/>
  <c r="F11" i="12"/>
  <c r="E120" i="10"/>
  <c r="E99" i="10"/>
  <c r="E10" i="12"/>
  <c r="E38" i="10"/>
  <c r="M50" i="21"/>
  <c r="E17" i="12"/>
  <c r="E43" i="10"/>
  <c r="E220" i="17"/>
  <c r="D18" i="12"/>
  <c r="D44" i="10"/>
  <c r="D120" i="10"/>
  <c r="D99" i="10"/>
  <c r="D10" i="12"/>
  <c r="D38" i="10"/>
  <c r="C97" i="10"/>
  <c r="C118" i="10"/>
  <c r="C8" i="12"/>
  <c r="C29" i="2"/>
  <c r="C36" i="10"/>
  <c r="C28" i="10"/>
  <c r="C40" i="2"/>
  <c r="C6" i="12"/>
  <c r="C46" i="2"/>
  <c r="C15" i="12"/>
  <c r="C42" i="10"/>
  <c r="C20" i="12"/>
  <c r="C50" i="2"/>
  <c r="C54" i="2"/>
  <c r="C39" i="10"/>
  <c r="C49" i="2"/>
  <c r="C18" i="12"/>
  <c r="C44" i="10"/>
  <c r="C16" i="12"/>
  <c r="C47" i="2"/>
  <c r="C33" i="10"/>
  <c r="C51" i="2"/>
  <c r="C19" i="12"/>
  <c r="C55" i="2"/>
  <c r="C45" i="2"/>
  <c r="C14" i="12"/>
  <c r="C41" i="10"/>
  <c r="C119" i="10"/>
  <c r="C98" i="10"/>
  <c r="C9" i="12"/>
  <c r="C28" i="2"/>
  <c r="C37" i="10"/>
  <c r="C39" i="2"/>
  <c r="C5" i="12"/>
  <c r="C27" i="10"/>
  <c r="C43" i="10"/>
  <c r="C48" i="2"/>
  <c r="C17" i="12"/>
  <c r="C99" i="10"/>
  <c r="C120" i="10"/>
  <c r="C38" i="10"/>
  <c r="C56" i="2"/>
  <c r="C10" i="12"/>
  <c r="G17" i="12"/>
  <c r="G43" i="10"/>
  <c r="C40" i="10"/>
  <c r="C13" i="12"/>
  <c r="C31" i="10"/>
  <c r="C11" i="12"/>
  <c r="C12" i="12"/>
  <c r="C29" i="10"/>
  <c r="D110" i="21"/>
  <c r="C108" i="2" s="1"/>
  <c r="B27" i="4" s="1"/>
  <c r="D112" i="21"/>
  <c r="C110" i="2" s="1"/>
  <c r="B29" i="4" s="1"/>
  <c r="D62" i="16"/>
  <c r="D64" i="16" s="1"/>
  <c r="D154" i="16" s="1"/>
  <c r="D163" i="16" s="1"/>
  <c r="L128" i="18"/>
  <c r="H17" i="21"/>
  <c r="K17" i="19"/>
  <c r="H14" i="21"/>
  <c r="K14" i="19"/>
  <c r="H15" i="21"/>
  <c r="K15" i="19"/>
  <c r="H16" i="21"/>
  <c r="K16" i="19"/>
  <c r="G13" i="21"/>
  <c r="K13" i="18"/>
  <c r="G14" i="21"/>
  <c r="K14" i="18"/>
  <c r="F13" i="21"/>
  <c r="K13" i="17"/>
  <c r="F15" i="21"/>
  <c r="K15" i="17"/>
  <c r="E13" i="21"/>
  <c r="L13" i="16"/>
  <c r="E15" i="21"/>
  <c r="L15" i="16"/>
  <c r="D94" i="21"/>
  <c r="C92" i="2" s="1"/>
  <c r="D89" i="21"/>
  <c r="C87" i="2" s="1"/>
  <c r="G15" i="21"/>
  <c r="K15" i="18"/>
  <c r="O17" i="14"/>
  <c r="C17" i="21"/>
  <c r="I229" i="14"/>
  <c r="C208" i="21"/>
  <c r="C229" i="21" s="1"/>
  <c r="D113" i="21"/>
  <c r="C111" i="2" s="1"/>
  <c r="B30" i="4" s="1"/>
  <c r="J93" i="16"/>
  <c r="E93" i="21" s="1"/>
  <c r="C199" i="17"/>
  <c r="J199" i="16"/>
  <c r="E199" i="21" s="1"/>
  <c r="C155" i="18"/>
  <c r="I155" i="17"/>
  <c r="F155" i="21" s="1"/>
  <c r="O16" i="14"/>
  <c r="C16" i="21"/>
  <c r="C177" i="21"/>
  <c r="C201" i="21"/>
  <c r="D109" i="21"/>
  <c r="C107" i="2" s="1"/>
  <c r="B26" i="4" s="1"/>
  <c r="D97" i="21"/>
  <c r="C95" i="2" s="1"/>
  <c r="C166" i="17"/>
  <c r="J166" i="16"/>
  <c r="E166" i="21" s="1"/>
  <c r="I109" i="17"/>
  <c r="F109" i="21" s="1"/>
  <c r="M109" i="21" s="1"/>
  <c r="I95" i="19"/>
  <c r="H95" i="21" s="1"/>
  <c r="I227" i="14"/>
  <c r="C206" i="21"/>
  <c r="O6" i="14"/>
  <c r="C6" i="21"/>
  <c r="O15" i="14"/>
  <c r="C15" i="21"/>
  <c r="O11" i="14"/>
  <c r="C11" i="21"/>
  <c r="O7" i="14"/>
  <c r="C7" i="21"/>
  <c r="C60" i="21"/>
  <c r="C63" i="21" s="1"/>
  <c r="C188" i="21"/>
  <c r="L2" i="15"/>
  <c r="C2" i="16"/>
  <c r="D2" i="21"/>
  <c r="D15" i="21"/>
  <c r="C174" i="16"/>
  <c r="D174" i="21"/>
  <c r="D96" i="21"/>
  <c r="C94" i="2" s="1"/>
  <c r="D92" i="21"/>
  <c r="C90" i="2" s="1"/>
  <c r="J16" i="16"/>
  <c r="J95" i="16"/>
  <c r="E95" i="21" s="1"/>
  <c r="I105" i="17"/>
  <c r="J104" i="16"/>
  <c r="E104" i="21" s="1"/>
  <c r="E180" i="21"/>
  <c r="G221" i="17"/>
  <c r="I14" i="17"/>
  <c r="I93" i="17"/>
  <c r="F93" i="21" s="1"/>
  <c r="I96" i="17"/>
  <c r="F96" i="21" s="1"/>
  <c r="I95" i="18"/>
  <c r="G95" i="21" s="1"/>
  <c r="I125" i="18"/>
  <c r="H12" i="21"/>
  <c r="I93" i="19"/>
  <c r="H93" i="21" s="1"/>
  <c r="I96" i="19"/>
  <c r="H96" i="21" s="1"/>
  <c r="I93" i="20"/>
  <c r="I93" i="21" s="1"/>
  <c r="D220" i="20"/>
  <c r="I125" i="20"/>
  <c r="I127" i="20" s="1"/>
  <c r="O13" i="14"/>
  <c r="C13" i="21"/>
  <c r="O9" i="14"/>
  <c r="C9" i="21"/>
  <c r="C169" i="16"/>
  <c r="C172" i="21"/>
  <c r="C176" i="17"/>
  <c r="I176" i="17" s="1"/>
  <c r="F176" i="21" s="1"/>
  <c r="J176" i="16"/>
  <c r="E176" i="21" s="1"/>
  <c r="J97" i="16"/>
  <c r="E97" i="21" s="1"/>
  <c r="J165" i="16"/>
  <c r="I12" i="17"/>
  <c r="F12" i="21" s="1"/>
  <c r="I125" i="17"/>
  <c r="I127" i="17" s="1"/>
  <c r="I108" i="18"/>
  <c r="I97" i="18"/>
  <c r="G97" i="21" s="1"/>
  <c r="I170" i="18"/>
  <c r="G170" i="21" s="1"/>
  <c r="O12" i="14"/>
  <c r="C12" i="21"/>
  <c r="C127" i="21"/>
  <c r="L12" i="15"/>
  <c r="D93" i="21"/>
  <c r="C91" i="2" s="1"/>
  <c r="J113" i="16"/>
  <c r="E113" i="21" s="1"/>
  <c r="J200" i="16"/>
  <c r="E200" i="21" s="1"/>
  <c r="I95" i="17"/>
  <c r="F95" i="21" s="1"/>
  <c r="I229" i="18"/>
  <c r="G208" i="21"/>
  <c r="G229" i="21" s="1"/>
  <c r="I109" i="19"/>
  <c r="H109" i="21" s="1"/>
  <c r="O109" i="21" s="1"/>
  <c r="I125" i="19"/>
  <c r="I127" i="19" s="1"/>
  <c r="I97" i="20"/>
  <c r="I97" i="21" s="1"/>
  <c r="O8" i="14"/>
  <c r="O18" i="14"/>
  <c r="C18" i="21"/>
  <c r="O14" i="14"/>
  <c r="C14" i="21"/>
  <c r="O10" i="14"/>
  <c r="C10" i="21"/>
  <c r="D75" i="21"/>
  <c r="C73" i="2" s="1"/>
  <c r="D95" i="21"/>
  <c r="C93" i="2" s="1"/>
  <c r="J12" i="16"/>
  <c r="J96" i="16"/>
  <c r="E96" i="21" s="1"/>
  <c r="J109" i="16"/>
  <c r="E109" i="21" s="1"/>
  <c r="L109" i="21" s="1"/>
  <c r="J125" i="16"/>
  <c r="J194" i="16"/>
  <c r="E194" i="21" s="1"/>
  <c r="I97" i="17"/>
  <c r="F97" i="21" s="1"/>
  <c r="I107" i="18"/>
  <c r="G107" i="21" s="1"/>
  <c r="I111" i="17"/>
  <c r="F111" i="21" s="1"/>
  <c r="F130" i="18"/>
  <c r="I16" i="18"/>
  <c r="I93" i="18"/>
  <c r="G93" i="21" s="1"/>
  <c r="I96" i="18"/>
  <c r="G96" i="21" s="1"/>
  <c r="I109" i="18"/>
  <c r="G109" i="21" s="1"/>
  <c r="N109" i="21" s="1"/>
  <c r="C103" i="19"/>
  <c r="I103" i="18"/>
  <c r="G103" i="21" s="1"/>
  <c r="I111" i="18"/>
  <c r="G111" i="21" s="1"/>
  <c r="I111" i="19"/>
  <c r="H111" i="21" s="1"/>
  <c r="I13" i="19"/>
  <c r="I19" i="19" s="1"/>
  <c r="I97" i="19"/>
  <c r="H97" i="21" s="1"/>
  <c r="I95" i="20"/>
  <c r="I95" i="21" s="1"/>
  <c r="F221" i="20"/>
  <c r="I109" i="20"/>
  <c r="I109" i="21" s="1"/>
  <c r="P109" i="21" s="1"/>
  <c r="L128" i="20"/>
  <c r="I111" i="21"/>
  <c r="F130" i="19"/>
  <c r="I229" i="17"/>
  <c r="F208" i="21"/>
  <c r="F229" i="21" s="1"/>
  <c r="F60" i="21"/>
  <c r="F63" i="21" s="1"/>
  <c r="F64" i="21" s="1"/>
  <c r="J229" i="16"/>
  <c r="E208" i="21"/>
  <c r="E229" i="21" s="1"/>
  <c r="E60" i="21"/>
  <c r="E63" i="21" s="1"/>
  <c r="E64" i="21" s="1"/>
  <c r="J229" i="15"/>
  <c r="D208" i="21"/>
  <c r="D60" i="21"/>
  <c r="D63" i="21" s="1"/>
  <c r="I60" i="21"/>
  <c r="I63" i="21" s="1"/>
  <c r="I64" i="21" s="1"/>
  <c r="O50" i="21"/>
  <c r="H60" i="21"/>
  <c r="H63" i="21" s="1"/>
  <c r="H64" i="21" s="1"/>
  <c r="G60" i="21"/>
  <c r="G63" i="21" s="1"/>
  <c r="G64" i="21" s="1"/>
  <c r="C172" i="14"/>
  <c r="F221" i="15"/>
  <c r="C175" i="16"/>
  <c r="C5" i="16"/>
  <c r="E130" i="16"/>
  <c r="C200" i="17"/>
  <c r="E105" i="21"/>
  <c r="C62" i="16"/>
  <c r="C64" i="16" s="1"/>
  <c r="C154" i="16" s="1"/>
  <c r="C165" i="17"/>
  <c r="C180" i="17"/>
  <c r="M128" i="16"/>
  <c r="C19" i="16"/>
  <c r="C5" i="17"/>
  <c r="F102" i="21"/>
  <c r="G64" i="17"/>
  <c r="G154" i="17" s="1"/>
  <c r="G163" i="17" s="1"/>
  <c r="L128" i="17"/>
  <c r="C19" i="17"/>
  <c r="G104" i="21"/>
  <c r="M128" i="17"/>
  <c r="N129" i="17"/>
  <c r="C104" i="20"/>
  <c r="H104" i="21"/>
  <c r="C170" i="19"/>
  <c r="I170" i="19" s="1"/>
  <c r="M129" i="18"/>
  <c r="M128" i="18" s="1"/>
  <c r="C5" i="18"/>
  <c r="C196" i="18" s="1"/>
  <c r="C19" i="18"/>
  <c r="D130" i="19"/>
  <c r="F64" i="19"/>
  <c r="F154" i="19" s="1"/>
  <c r="F163" i="19" s="1"/>
  <c r="L128" i="19"/>
  <c r="H150" i="21"/>
  <c r="C150" i="20"/>
  <c r="I150" i="20" s="1"/>
  <c r="G130" i="19"/>
  <c r="M129" i="20"/>
  <c r="N129" i="20" s="1"/>
  <c r="O129" i="20" s="1"/>
  <c r="E62" i="20"/>
  <c r="E64" i="20" s="1"/>
  <c r="E154" i="20" s="1"/>
  <c r="E163" i="20" s="1"/>
  <c r="G62" i="20"/>
  <c r="G64" i="20" s="1"/>
  <c r="G154" i="20" s="1"/>
  <c r="G163" i="20" s="1"/>
  <c r="D62" i="20"/>
  <c r="D64" i="20" s="1"/>
  <c r="D154" i="20" s="1"/>
  <c r="I60" i="20"/>
  <c r="I63" i="20" s="1"/>
  <c r="I102" i="21"/>
  <c r="I37" i="20"/>
  <c r="I62" i="20" s="1"/>
  <c r="F62" i="20"/>
  <c r="F64" i="20" s="1"/>
  <c r="F154" i="20" s="1"/>
  <c r="F163" i="20" s="1"/>
  <c r="C221" i="20"/>
  <c r="G221" i="20"/>
  <c r="G130" i="20"/>
  <c r="N130" i="20"/>
  <c r="O130" i="20" s="1"/>
  <c r="I60" i="19"/>
  <c r="I63" i="19" s="1"/>
  <c r="C62" i="19"/>
  <c r="C64" i="19" s="1"/>
  <c r="C154" i="19" s="1"/>
  <c r="C19" i="19"/>
  <c r="C90" i="19"/>
  <c r="C5" i="19"/>
  <c r="E62" i="19"/>
  <c r="E64" i="19" s="1"/>
  <c r="E154" i="19" s="1"/>
  <c r="I37" i="19"/>
  <c r="I62" i="19" s="1"/>
  <c r="G64" i="19"/>
  <c r="G154" i="19" s="1"/>
  <c r="G163" i="19" s="1"/>
  <c r="D64" i="19"/>
  <c r="D154" i="19" s="1"/>
  <c r="M128" i="19"/>
  <c r="N129" i="19"/>
  <c r="F221" i="19"/>
  <c r="H102" i="21"/>
  <c r="G221" i="19"/>
  <c r="I37" i="18"/>
  <c r="I62" i="18" s="1"/>
  <c r="C87" i="18"/>
  <c r="I60" i="18"/>
  <c r="I63" i="18" s="1"/>
  <c r="G102" i="21"/>
  <c r="C62" i="18"/>
  <c r="C64" i="18" s="1"/>
  <c r="G62" i="18"/>
  <c r="G64" i="18" s="1"/>
  <c r="G154" i="18" s="1"/>
  <c r="G163" i="18" s="1"/>
  <c r="K6" i="18"/>
  <c r="K12" i="18"/>
  <c r="D62" i="18"/>
  <c r="D64" i="18" s="1"/>
  <c r="D154" i="18" s="1"/>
  <c r="F221" i="18"/>
  <c r="E62" i="18"/>
  <c r="E64" i="18" s="1"/>
  <c r="E154" i="18" s="1"/>
  <c r="G221" i="18"/>
  <c r="E62" i="17"/>
  <c r="E64" i="17" s="1"/>
  <c r="E154" i="17" s="1"/>
  <c r="C62" i="17"/>
  <c r="C64" i="17" s="1"/>
  <c r="C154" i="17" s="1"/>
  <c r="C87" i="17"/>
  <c r="C90" i="17"/>
  <c r="I37" i="17"/>
  <c r="I62" i="17" s="1"/>
  <c r="F112" i="21"/>
  <c r="D221" i="17"/>
  <c r="D129" i="17"/>
  <c r="K6" i="17"/>
  <c r="I60" i="17"/>
  <c r="I63" i="17" s="1"/>
  <c r="F129" i="17"/>
  <c r="F221" i="17"/>
  <c r="F62" i="17"/>
  <c r="F64" i="17" s="1"/>
  <c r="F154" i="17" s="1"/>
  <c r="F163" i="17" s="1"/>
  <c r="D62" i="17"/>
  <c r="D64" i="17" s="1"/>
  <c r="D154" i="17" s="1"/>
  <c r="J37" i="16"/>
  <c r="J62" i="16" s="1"/>
  <c r="J60" i="16"/>
  <c r="J63" i="16" s="1"/>
  <c r="H62" i="16"/>
  <c r="H64" i="16" s="1"/>
  <c r="E220" i="16"/>
  <c r="H221" i="16"/>
  <c r="E112" i="21"/>
  <c r="O129" i="16"/>
  <c r="N128" i="16"/>
  <c r="E62" i="16"/>
  <c r="E64" i="16" s="1"/>
  <c r="L6" i="16"/>
  <c r="F62" i="16"/>
  <c r="F64" i="16" s="1"/>
  <c r="I19" i="14"/>
  <c r="I29" i="14"/>
  <c r="N129" i="15"/>
  <c r="M128" i="15"/>
  <c r="D29" i="21"/>
  <c r="I60" i="14"/>
  <c r="I63" i="14" s="1"/>
  <c r="I127" i="14"/>
  <c r="M2" i="14"/>
  <c r="H19" i="14"/>
  <c r="D62" i="14"/>
  <c r="D64" i="14" s="1"/>
  <c r="K19" i="14"/>
  <c r="K20" i="14" s="1"/>
  <c r="D19" i="14"/>
  <c r="C74" i="14"/>
  <c r="C151" i="14"/>
  <c r="I151" i="14" s="1"/>
  <c r="C151" i="21" s="1"/>
  <c r="D177" i="14"/>
  <c r="L2" i="14"/>
  <c r="L19" i="14"/>
  <c r="L20" i="14" s="1"/>
  <c r="F19" i="14"/>
  <c r="E177" i="14"/>
  <c r="C108" i="14"/>
  <c r="I108" i="14" s="1"/>
  <c r="C134" i="14"/>
  <c r="I134" i="14" s="1"/>
  <c r="C62" i="14"/>
  <c r="C64" i="14" s="1"/>
  <c r="E64" i="14"/>
  <c r="M14" i="14"/>
  <c r="M19" i="14" s="1"/>
  <c r="M20" i="14" s="1"/>
  <c r="C86" i="14"/>
  <c r="I86" i="14" s="1"/>
  <c r="C86" i="21" s="1"/>
  <c r="L128" i="14"/>
  <c r="E19" i="14"/>
  <c r="D115" i="14"/>
  <c r="D128" i="14" s="1"/>
  <c r="D136" i="14" s="1"/>
  <c r="N129" i="14"/>
  <c r="M128" i="14"/>
  <c r="H201" i="14"/>
  <c r="N12" i="14"/>
  <c r="N19" i="14" s="1"/>
  <c r="N20" i="14" s="1"/>
  <c r="F62" i="14"/>
  <c r="F64" i="14" s="1"/>
  <c r="I5" i="14"/>
  <c r="I201" i="14"/>
  <c r="I138" i="14"/>
  <c r="C138" i="21" s="1"/>
  <c r="C153" i="14"/>
  <c r="I153" i="14" s="1"/>
  <c r="C153" i="21" s="1"/>
  <c r="C134" i="21"/>
  <c r="E115" i="14"/>
  <c r="E128" i="14" s="1"/>
  <c r="E136" i="14" s="1"/>
  <c r="H62" i="14"/>
  <c r="H64" i="14" s="1"/>
  <c r="C73" i="14"/>
  <c r="I73" i="14" s="1"/>
  <c r="C73" i="21" s="1"/>
  <c r="F115" i="14"/>
  <c r="F128" i="14" s="1"/>
  <c r="F136" i="14" s="1"/>
  <c r="C127" i="14"/>
  <c r="F172" i="14"/>
  <c r="E201" i="14"/>
  <c r="F177" i="14"/>
  <c r="F201" i="14"/>
  <c r="I5" i="19" l="1"/>
  <c r="C196" i="19"/>
  <c r="I131" i="18"/>
  <c r="G131" i="21" s="1"/>
  <c r="I5" i="17"/>
  <c r="C196" i="17"/>
  <c r="E163" i="19"/>
  <c r="C157" i="18"/>
  <c r="C206" i="18"/>
  <c r="I206" i="18" s="1"/>
  <c r="C144" i="18"/>
  <c r="C138" i="18"/>
  <c r="C143" i="18"/>
  <c r="I143" i="18" s="1"/>
  <c r="G143" i="21" s="1"/>
  <c r="F74" i="18"/>
  <c r="C145" i="18"/>
  <c r="C142" i="18"/>
  <c r="F179" i="18"/>
  <c r="F188" i="18" s="1"/>
  <c r="J131" i="16"/>
  <c r="E131" i="21" s="1"/>
  <c r="I134" i="18"/>
  <c r="I131" i="20"/>
  <c r="I131" i="21" s="1"/>
  <c r="C157" i="19"/>
  <c r="C206" i="19"/>
  <c r="I206" i="19" s="1"/>
  <c r="F74" i="19"/>
  <c r="C145" i="19"/>
  <c r="I145" i="19" s="1"/>
  <c r="H145" i="21" s="1"/>
  <c r="C142" i="19"/>
  <c r="C144" i="19"/>
  <c r="C143" i="19"/>
  <c r="I143" i="19" s="1"/>
  <c r="F179" i="19"/>
  <c r="F188" i="19" s="1"/>
  <c r="C138" i="19"/>
  <c r="C206" i="17"/>
  <c r="I206" i="17" s="1"/>
  <c r="C157" i="17"/>
  <c r="C138" i="17"/>
  <c r="I138" i="17" s="1"/>
  <c r="F138" i="21" s="1"/>
  <c r="C142" i="17"/>
  <c r="F74" i="17"/>
  <c r="C144" i="17"/>
  <c r="F179" i="17"/>
  <c r="F188" i="17" s="1"/>
  <c r="C145" i="17"/>
  <c r="C143" i="17"/>
  <c r="L197" i="21"/>
  <c r="I134" i="20"/>
  <c r="I131" i="19"/>
  <c r="H131" i="21" s="1"/>
  <c r="G125" i="21"/>
  <c r="G127" i="21" s="1"/>
  <c r="I127" i="18"/>
  <c r="I131" i="17"/>
  <c r="F131" i="21" s="1"/>
  <c r="C157" i="16"/>
  <c r="C206" i="16"/>
  <c r="J206" i="16" s="1"/>
  <c r="B6" i="4"/>
  <c r="L6" i="4" s="1"/>
  <c r="C143" i="16"/>
  <c r="J143" i="16" s="1"/>
  <c r="E143" i="21" s="1"/>
  <c r="C144" i="16"/>
  <c r="J144" i="16" s="1"/>
  <c r="E144" i="21" s="1"/>
  <c r="C142" i="16"/>
  <c r="J142" i="16" s="1"/>
  <c r="E142" i="21" s="1"/>
  <c r="F74" i="16"/>
  <c r="J74" i="16" s="1"/>
  <c r="C138" i="16"/>
  <c r="C145" i="16"/>
  <c r="J145" i="16" s="1"/>
  <c r="E145" i="21" s="1"/>
  <c r="F179" i="16"/>
  <c r="F188" i="16" s="1"/>
  <c r="K73" i="16"/>
  <c r="C196" i="16"/>
  <c r="C201" i="16" s="1"/>
  <c r="C201" i="17"/>
  <c r="I165" i="17"/>
  <c r="F165" i="21" s="1"/>
  <c r="J174" i="16"/>
  <c r="C177" i="16"/>
  <c r="E165" i="21"/>
  <c r="C115" i="18"/>
  <c r="C128" i="18" s="1"/>
  <c r="C115" i="17"/>
  <c r="C128" i="17" s="1"/>
  <c r="F105" i="21"/>
  <c r="E125" i="21"/>
  <c r="E127" i="21" s="1"/>
  <c r="J127" i="16"/>
  <c r="C115" i="16"/>
  <c r="C128" i="16" s="1"/>
  <c r="C130" i="16" s="1"/>
  <c r="H125" i="21"/>
  <c r="H127" i="21" s="1"/>
  <c r="H125" i="10"/>
  <c r="H104" i="10"/>
  <c r="H113" i="10"/>
  <c r="H92" i="10"/>
  <c r="H111" i="10"/>
  <c r="H90" i="10"/>
  <c r="O16" i="21"/>
  <c r="G48" i="9"/>
  <c r="G27" i="9" s="1"/>
  <c r="O14" i="21"/>
  <c r="G46" i="9"/>
  <c r="G25" i="9" s="1"/>
  <c r="I74" i="19"/>
  <c r="E22" i="19"/>
  <c r="D23" i="19"/>
  <c r="D79" i="20" s="1"/>
  <c r="G77" i="19"/>
  <c r="O12" i="21"/>
  <c r="G44" i="9"/>
  <c r="G23" i="9" s="1"/>
  <c r="O15" i="21"/>
  <c r="G47" i="9"/>
  <c r="G26" i="9" s="1"/>
  <c r="O17" i="21"/>
  <c r="G49" i="9"/>
  <c r="G28" i="9" s="1"/>
  <c r="G113" i="10"/>
  <c r="G92" i="10"/>
  <c r="F87" i="18"/>
  <c r="I87" i="18" s="1"/>
  <c r="E22" i="18"/>
  <c r="D23" i="18"/>
  <c r="G77" i="18"/>
  <c r="N15" i="21"/>
  <c r="F47" i="9"/>
  <c r="F26" i="9" s="1"/>
  <c r="N14" i="21"/>
  <c r="F46" i="9"/>
  <c r="F25" i="9" s="1"/>
  <c r="N13" i="21"/>
  <c r="F45" i="9"/>
  <c r="F24" i="9" s="1"/>
  <c r="F113" i="10"/>
  <c r="F92" i="10"/>
  <c r="M15" i="21"/>
  <c r="E117" i="10" s="1"/>
  <c r="E47" i="9"/>
  <c r="E26" i="9" s="1"/>
  <c r="G77" i="17"/>
  <c r="I77" i="17" s="1"/>
  <c r="E22" i="17"/>
  <c r="D23" i="17"/>
  <c r="D79" i="18" s="1"/>
  <c r="E125" i="10"/>
  <c r="E104" i="10"/>
  <c r="F134" i="21"/>
  <c r="M12" i="21"/>
  <c r="E44" i="9"/>
  <c r="E23" i="9" s="1"/>
  <c r="M13" i="21"/>
  <c r="E45" i="9"/>
  <c r="E24" i="9" s="1"/>
  <c r="L13" i="21"/>
  <c r="D45" i="9"/>
  <c r="D24" i="9" s="1"/>
  <c r="D23" i="16"/>
  <c r="D79" i="17" s="1"/>
  <c r="E22" i="16"/>
  <c r="L15" i="21"/>
  <c r="D47" i="9"/>
  <c r="D26" i="9" s="1"/>
  <c r="D105" i="10"/>
  <c r="D126" i="10"/>
  <c r="K2" i="21"/>
  <c r="C2" i="2"/>
  <c r="B4" i="8"/>
  <c r="C88" i="10"/>
  <c r="C109" i="10"/>
  <c r="C102" i="10"/>
  <c r="C123" i="10"/>
  <c r="C100" i="10"/>
  <c r="C121" i="10"/>
  <c r="C103" i="10"/>
  <c r="C124" i="10"/>
  <c r="C105" i="10"/>
  <c r="C126" i="10"/>
  <c r="C110" i="10"/>
  <c r="C89" i="10"/>
  <c r="C104" i="10"/>
  <c r="C125" i="10"/>
  <c r="K50" i="21"/>
  <c r="C27" i="2"/>
  <c r="C7" i="12"/>
  <c r="C35" i="10"/>
  <c r="D229" i="21"/>
  <c r="C202" i="2"/>
  <c r="B99" i="4" s="1"/>
  <c r="D177" i="21"/>
  <c r="C168" i="2"/>
  <c r="B75" i="4" s="1"/>
  <c r="K15" i="21"/>
  <c r="C117" i="10" s="1"/>
  <c r="C13" i="2"/>
  <c r="C47" i="9"/>
  <c r="C26" i="9" s="1"/>
  <c r="C58" i="2"/>
  <c r="C115" i="10"/>
  <c r="C94" i="10"/>
  <c r="C101" i="10"/>
  <c r="C122" i="10"/>
  <c r="C111" i="10"/>
  <c r="C90" i="10"/>
  <c r="G104" i="10"/>
  <c r="G125" i="10"/>
  <c r="C113" i="10"/>
  <c r="C92" i="10"/>
  <c r="M128" i="20"/>
  <c r="J110" i="16"/>
  <c r="J115" i="16" s="1"/>
  <c r="J30" i="19"/>
  <c r="I157" i="18"/>
  <c r="G157" i="21" s="1"/>
  <c r="L19" i="18"/>
  <c r="J30" i="18"/>
  <c r="D134" i="21"/>
  <c r="C131" i="2" s="1"/>
  <c r="B46" i="4" s="1"/>
  <c r="M19" i="16"/>
  <c r="D74" i="21"/>
  <c r="C72" i="2" s="1"/>
  <c r="B5" i="4" s="1"/>
  <c r="D151" i="21"/>
  <c r="H13" i="21"/>
  <c r="K13" i="19"/>
  <c r="G16" i="21"/>
  <c r="K16" i="18"/>
  <c r="K19" i="18" s="1"/>
  <c r="K20" i="18" s="1"/>
  <c r="F14" i="21"/>
  <c r="K14" i="17"/>
  <c r="C107" i="19"/>
  <c r="C107" i="20" s="1"/>
  <c r="E16" i="21"/>
  <c r="L16" i="16"/>
  <c r="E12" i="21"/>
  <c r="L12" i="16"/>
  <c r="C174" i="17"/>
  <c r="D88" i="21"/>
  <c r="C86" i="2" s="1"/>
  <c r="D37" i="21"/>
  <c r="J37" i="21" s="1"/>
  <c r="O19" i="14"/>
  <c r="O20" i="14" s="1"/>
  <c r="F129" i="18"/>
  <c r="F135" i="18" s="1"/>
  <c r="F136" i="18" s="1"/>
  <c r="F203" i="18" s="1"/>
  <c r="I145" i="18"/>
  <c r="G145" i="21" s="1"/>
  <c r="K12" i="17"/>
  <c r="I196" i="17"/>
  <c r="H78" i="18"/>
  <c r="J22" i="17"/>
  <c r="J23" i="17" s="1"/>
  <c r="I74" i="17"/>
  <c r="E151" i="17"/>
  <c r="I151" i="17" s="1"/>
  <c r="I77" i="18"/>
  <c r="C200" i="18"/>
  <c r="I200" i="17"/>
  <c r="F200" i="21" s="1"/>
  <c r="C199" i="18"/>
  <c r="I199" i="17"/>
  <c r="F199" i="21" s="1"/>
  <c r="M197" i="21" s="1"/>
  <c r="I142" i="17"/>
  <c r="I145" i="17"/>
  <c r="F145" i="21" s="1"/>
  <c r="C171" i="18"/>
  <c r="I171" i="18" s="1"/>
  <c r="G171" i="21" s="1"/>
  <c r="H78" i="19"/>
  <c r="I23" i="19"/>
  <c r="J19" i="18"/>
  <c r="J20" i="18" s="1"/>
  <c r="E151" i="18"/>
  <c r="I151" i="18" s="1"/>
  <c r="G151" i="21" s="1"/>
  <c r="I194" i="18"/>
  <c r="G194" i="21" s="1"/>
  <c r="E130" i="17"/>
  <c r="E129" i="17"/>
  <c r="J175" i="16"/>
  <c r="E175" i="21" s="1"/>
  <c r="I37" i="14"/>
  <c r="I62" i="14" s="1"/>
  <c r="I64" i="14" s="1"/>
  <c r="C29" i="21"/>
  <c r="C37" i="21" s="1"/>
  <c r="C62" i="21" s="1"/>
  <c r="C64" i="21" s="1"/>
  <c r="I78" i="16"/>
  <c r="J79" i="16"/>
  <c r="I19" i="17"/>
  <c r="I143" i="17"/>
  <c r="F143" i="21" s="1"/>
  <c r="I157" i="17"/>
  <c r="F157" i="21" s="1"/>
  <c r="C153" i="17"/>
  <c r="I153" i="17" s="1"/>
  <c r="F153" i="21" s="1"/>
  <c r="I134" i="21"/>
  <c r="O128" i="20"/>
  <c r="I196" i="18"/>
  <c r="I5" i="18"/>
  <c r="C176" i="18"/>
  <c r="J5" i="16"/>
  <c r="C103" i="20"/>
  <c r="I103" i="19"/>
  <c r="H103" i="21" s="1"/>
  <c r="I194" i="17"/>
  <c r="F194" i="21" s="1"/>
  <c r="C105" i="19"/>
  <c r="I105" i="18"/>
  <c r="C73" i="16"/>
  <c r="J2" i="16"/>
  <c r="C19" i="21"/>
  <c r="C5" i="21"/>
  <c r="C227" i="21" s="1"/>
  <c r="C148" i="21"/>
  <c r="I104" i="20"/>
  <c r="I104" i="21" s="1"/>
  <c r="H77" i="16"/>
  <c r="J77" i="16" s="1"/>
  <c r="E77" i="21" s="1"/>
  <c r="H78" i="17"/>
  <c r="E151" i="16"/>
  <c r="C180" i="18"/>
  <c r="I180" i="17"/>
  <c r="F180" i="21" s="1"/>
  <c r="J169" i="16"/>
  <c r="E169" i="21" s="1"/>
  <c r="D73" i="21"/>
  <c r="C71" i="2" s="1"/>
  <c r="B4" i="4" s="1"/>
  <c r="J134" i="16"/>
  <c r="E134" i="21" s="1"/>
  <c r="I144" i="17"/>
  <c r="F144" i="21" s="1"/>
  <c r="H134" i="21"/>
  <c r="C169" i="17"/>
  <c r="C169" i="18" s="1"/>
  <c r="I169" i="18" s="1"/>
  <c r="I155" i="18"/>
  <c r="G155" i="21" s="1"/>
  <c r="D140" i="21"/>
  <c r="C171" i="17"/>
  <c r="I171" i="17" s="1"/>
  <c r="F171" i="21" s="1"/>
  <c r="N129" i="18"/>
  <c r="O129" i="18" s="1"/>
  <c r="O128" i="18" s="1"/>
  <c r="H78" i="20"/>
  <c r="I23" i="20"/>
  <c r="I23" i="21" s="1"/>
  <c r="E151" i="19"/>
  <c r="I151" i="19" s="1"/>
  <c r="I77" i="20"/>
  <c r="I22" i="20"/>
  <c r="C155" i="19"/>
  <c r="D12" i="21"/>
  <c r="G134" i="21"/>
  <c r="L15" i="15"/>
  <c r="L19" i="15" s="1"/>
  <c r="L20" i="15" s="1"/>
  <c r="C166" i="18"/>
  <c r="I166" i="17"/>
  <c r="F166" i="21" s="1"/>
  <c r="G130" i="17"/>
  <c r="G129" i="17"/>
  <c r="I154" i="20"/>
  <c r="I154" i="21" s="1"/>
  <c r="I125" i="21"/>
  <c r="I127" i="21" s="1"/>
  <c r="I154" i="19"/>
  <c r="H154" i="21" s="1"/>
  <c r="G129" i="18"/>
  <c r="G130" i="18"/>
  <c r="I154" i="17"/>
  <c r="F154" i="21" s="1"/>
  <c r="I64" i="17"/>
  <c r="F125" i="21"/>
  <c r="F127" i="21" s="1"/>
  <c r="H170" i="21"/>
  <c r="C170" i="20"/>
  <c r="H130" i="16"/>
  <c r="H129" i="16"/>
  <c r="E129" i="16"/>
  <c r="E135" i="16" s="1"/>
  <c r="E136" i="16" s="1"/>
  <c r="J60" i="21"/>
  <c r="K60" i="21"/>
  <c r="D125" i="21"/>
  <c r="C122" i="2" s="1"/>
  <c r="B39" i="4" s="1"/>
  <c r="C86" i="16"/>
  <c r="K109" i="21"/>
  <c r="I64" i="20"/>
  <c r="D129" i="19"/>
  <c r="D135" i="19" s="1"/>
  <c r="D136" i="19" s="1"/>
  <c r="E130" i="20"/>
  <c r="E135" i="20" s="1"/>
  <c r="E136" i="20" s="1"/>
  <c r="E203" i="20" s="1"/>
  <c r="O50" i="14"/>
  <c r="D153" i="21"/>
  <c r="C175" i="17"/>
  <c r="I175" i="17" s="1"/>
  <c r="J19" i="16"/>
  <c r="J64" i="16"/>
  <c r="C165" i="18"/>
  <c r="D130" i="16"/>
  <c r="D129" i="16"/>
  <c r="F130" i="16"/>
  <c r="F129" i="16"/>
  <c r="C153" i="16"/>
  <c r="C171" i="16"/>
  <c r="J171" i="16" s="1"/>
  <c r="E171" i="21" s="1"/>
  <c r="C179" i="16"/>
  <c r="C194" i="19"/>
  <c r="O129" i="17"/>
  <c r="O128" i="17" s="1"/>
  <c r="N128" i="17"/>
  <c r="C179" i="17"/>
  <c r="F130" i="17"/>
  <c r="F135" i="17" s="1"/>
  <c r="F136" i="17" s="1"/>
  <c r="F203" i="17" s="1"/>
  <c r="D130" i="17"/>
  <c r="D135" i="17" s="1"/>
  <c r="D136" i="17" s="1"/>
  <c r="I138" i="18"/>
  <c r="C153" i="18"/>
  <c r="I153" i="18" s="1"/>
  <c r="G153" i="21" s="1"/>
  <c r="I144" i="18"/>
  <c r="G144" i="21" s="1"/>
  <c r="I142" i="18"/>
  <c r="C179" i="18"/>
  <c r="E129" i="18"/>
  <c r="E130" i="18"/>
  <c r="D129" i="18"/>
  <c r="D130" i="18"/>
  <c r="I64" i="19"/>
  <c r="G129" i="19"/>
  <c r="G135" i="19" s="1"/>
  <c r="G136" i="19" s="1"/>
  <c r="G203" i="19" s="1"/>
  <c r="E129" i="19"/>
  <c r="E130" i="19"/>
  <c r="K12" i="19"/>
  <c r="K19" i="19" s="1"/>
  <c r="K20" i="19" s="1"/>
  <c r="C179" i="19"/>
  <c r="F129" i="19"/>
  <c r="F135" i="19" s="1"/>
  <c r="F136" i="19" s="1"/>
  <c r="F203" i="19" s="1"/>
  <c r="I150" i="21"/>
  <c r="G129" i="20"/>
  <c r="G135" i="20" s="1"/>
  <c r="G136" i="20" s="1"/>
  <c r="G203" i="20" s="1"/>
  <c r="F129" i="20"/>
  <c r="F130" i="20"/>
  <c r="D129" i="20"/>
  <c r="D130" i="20"/>
  <c r="K19" i="20"/>
  <c r="K20" i="20" s="1"/>
  <c r="I146" i="20"/>
  <c r="I148" i="20" s="1"/>
  <c r="F220" i="20"/>
  <c r="F87" i="20"/>
  <c r="I87" i="20" s="1"/>
  <c r="F85" i="20"/>
  <c r="I19" i="20"/>
  <c r="L19" i="20" s="1"/>
  <c r="C220" i="20"/>
  <c r="I179" i="21"/>
  <c r="N128" i="20"/>
  <c r="C171" i="19"/>
  <c r="I171" i="19" s="1"/>
  <c r="H171" i="21" s="1"/>
  <c r="C153" i="19"/>
  <c r="I153" i="19" s="1"/>
  <c r="H153" i="21" s="1"/>
  <c r="I142" i="19"/>
  <c r="H142" i="21" s="1"/>
  <c r="I138" i="19"/>
  <c r="H138" i="21" s="1"/>
  <c r="I157" i="19"/>
  <c r="H157" i="21" s="1"/>
  <c r="C87" i="19"/>
  <c r="I144" i="19"/>
  <c r="H144" i="21" s="1"/>
  <c r="I196" i="19"/>
  <c r="N128" i="19"/>
  <c r="O129" i="19"/>
  <c r="O128" i="19" s="1"/>
  <c r="I64" i="18"/>
  <c r="G108" i="21"/>
  <c r="N108" i="21" s="1"/>
  <c r="O111" i="21" s="1"/>
  <c r="C154" i="18"/>
  <c r="I154" i="18" s="1"/>
  <c r="C221" i="18"/>
  <c r="I19" i="18"/>
  <c r="L19" i="19" s="1"/>
  <c r="F108" i="21"/>
  <c r="M108" i="21" s="1"/>
  <c r="C87" i="16"/>
  <c r="F154" i="16"/>
  <c r="F163" i="16" s="1"/>
  <c r="E154" i="16"/>
  <c r="H154" i="16"/>
  <c r="H163" i="16" s="1"/>
  <c r="O128" i="16"/>
  <c r="P129" i="16"/>
  <c r="P128" i="16" s="1"/>
  <c r="D157" i="21"/>
  <c r="C221" i="14"/>
  <c r="C115" i="14"/>
  <c r="C128" i="14" s="1"/>
  <c r="C108" i="21"/>
  <c r="C115" i="21" s="1"/>
  <c r="C128" i="21" s="1"/>
  <c r="C220" i="14"/>
  <c r="I74" i="14"/>
  <c r="C74" i="21" s="1"/>
  <c r="C220" i="21" s="1"/>
  <c r="O129" i="15"/>
  <c r="N128" i="15"/>
  <c r="C220" i="15"/>
  <c r="C87" i="14"/>
  <c r="I87" i="14" s="1"/>
  <c r="C87" i="21" s="1"/>
  <c r="C98" i="21" s="1"/>
  <c r="C85" i="14"/>
  <c r="H115" i="14"/>
  <c r="H128" i="14" s="1"/>
  <c r="H136" i="14" s="1"/>
  <c r="C159" i="14"/>
  <c r="D188" i="14"/>
  <c r="H177" i="14"/>
  <c r="F188" i="14"/>
  <c r="O129" i="14"/>
  <c r="N128" i="14"/>
  <c r="E172" i="14"/>
  <c r="M22" i="14"/>
  <c r="M23" i="14" s="1"/>
  <c r="H172" i="14"/>
  <c r="D220" i="14"/>
  <c r="N2" i="14"/>
  <c r="F220" i="14"/>
  <c r="H220" i="14"/>
  <c r="N22" i="14"/>
  <c r="N23" i="14" s="1"/>
  <c r="C148" i="14"/>
  <c r="D201" i="14"/>
  <c r="D221" i="14"/>
  <c r="K22" i="14"/>
  <c r="K23" i="14" s="1"/>
  <c r="H188" i="14"/>
  <c r="F211" i="20" l="1"/>
  <c r="F135" i="20"/>
  <c r="F136" i="20" s="1"/>
  <c r="F203" i="20" s="1"/>
  <c r="G211" i="19"/>
  <c r="H135" i="16"/>
  <c r="H136" i="16" s="1"/>
  <c r="G135" i="18"/>
  <c r="G136" i="18" s="1"/>
  <c r="G203" i="18" s="1"/>
  <c r="E76" i="19"/>
  <c r="E146" i="18"/>
  <c r="E148" i="18" s="1"/>
  <c r="I23" i="18"/>
  <c r="G23" i="21" s="1"/>
  <c r="D79" i="19"/>
  <c r="C146" i="2"/>
  <c r="B57" i="4" s="1"/>
  <c r="C148" i="17"/>
  <c r="C152" i="2"/>
  <c r="B63" i="4" s="1"/>
  <c r="C148" i="18"/>
  <c r="E76" i="20"/>
  <c r="E146" i="19"/>
  <c r="E148" i="19" s="1"/>
  <c r="F206" i="21"/>
  <c r="F227" i="21" s="1"/>
  <c r="I227" i="17"/>
  <c r="H206" i="21"/>
  <c r="H227" i="21" s="1"/>
  <c r="I227" i="19"/>
  <c r="I227" i="18"/>
  <c r="G206" i="21"/>
  <c r="G227" i="21" s="1"/>
  <c r="E146" i="17"/>
  <c r="E148" i="17" s="1"/>
  <c r="E76" i="18"/>
  <c r="C148" i="2"/>
  <c r="B59" i="4" s="1"/>
  <c r="C148" i="19"/>
  <c r="K19" i="17"/>
  <c r="K20" i="17" s="1"/>
  <c r="E163" i="18"/>
  <c r="E163" i="17"/>
  <c r="C163" i="14"/>
  <c r="I159" i="14"/>
  <c r="C159" i="21" s="1"/>
  <c r="E163" i="16"/>
  <c r="E135" i="18"/>
  <c r="E136" i="18" s="1"/>
  <c r="D135" i="16"/>
  <c r="D136" i="16" s="1"/>
  <c r="D203" i="16" s="1"/>
  <c r="E146" i="16"/>
  <c r="J146" i="16" s="1"/>
  <c r="E146" i="21" s="1"/>
  <c r="E76" i="17"/>
  <c r="I76" i="17" s="1"/>
  <c r="J154" i="16"/>
  <c r="J157" i="16"/>
  <c r="E157" i="21" s="1"/>
  <c r="H203" i="16"/>
  <c r="J153" i="16"/>
  <c r="E153" i="21" s="1"/>
  <c r="J151" i="16"/>
  <c r="E151" i="21" s="1"/>
  <c r="J227" i="16"/>
  <c r="E206" i="21"/>
  <c r="E227" i="21" s="1"/>
  <c r="C172" i="16"/>
  <c r="C201" i="18"/>
  <c r="J172" i="16"/>
  <c r="C172" i="17"/>
  <c r="I165" i="18"/>
  <c r="G165" i="21" s="1"/>
  <c r="C172" i="18"/>
  <c r="C2" i="17"/>
  <c r="C73" i="17" s="1"/>
  <c r="I174" i="17"/>
  <c r="C177" i="17"/>
  <c r="E174" i="21"/>
  <c r="E177" i="21" s="1"/>
  <c r="J177" i="16"/>
  <c r="G142" i="21"/>
  <c r="F142" i="21"/>
  <c r="H143" i="21"/>
  <c r="D135" i="18"/>
  <c r="D136" i="18" s="1"/>
  <c r="E135" i="19"/>
  <c r="E136" i="19" s="1"/>
  <c r="E203" i="19" s="1"/>
  <c r="D135" i="20"/>
  <c r="D136" i="20" s="1"/>
  <c r="I194" i="19"/>
  <c r="H194" i="21" s="1"/>
  <c r="H196" i="21"/>
  <c r="G196" i="21"/>
  <c r="F196" i="21"/>
  <c r="F201" i="21" s="1"/>
  <c r="I201" i="17"/>
  <c r="G105" i="21"/>
  <c r="E135" i="17"/>
  <c r="E136" i="17" s="1"/>
  <c r="G135" i="17"/>
  <c r="G136" i="17" s="1"/>
  <c r="G203" i="17" s="1"/>
  <c r="J138" i="16"/>
  <c r="C148" i="16"/>
  <c r="J128" i="16"/>
  <c r="J67" i="16" s="1"/>
  <c r="F135" i="16"/>
  <c r="F136" i="16" s="1"/>
  <c r="F203" i="16" s="1"/>
  <c r="C129" i="16"/>
  <c r="C135" i="16" s="1"/>
  <c r="C136" i="16" s="1"/>
  <c r="C130" i="14"/>
  <c r="G117" i="10"/>
  <c r="I74" i="18"/>
  <c r="G74" i="21" s="1"/>
  <c r="D23" i="21"/>
  <c r="C21" i="2" s="1"/>
  <c r="J22" i="16"/>
  <c r="D26" i="16"/>
  <c r="D81" i="17" s="1"/>
  <c r="D159" i="17" s="1"/>
  <c r="D163" i="17" s="1"/>
  <c r="D203" i="17" s="1"/>
  <c r="F96" i="10"/>
  <c r="D26" i="19"/>
  <c r="O13" i="21"/>
  <c r="O19" i="21" s="1"/>
  <c r="O20" i="21" s="1"/>
  <c r="G45" i="9"/>
  <c r="G24" i="9" s="1"/>
  <c r="N16" i="21"/>
  <c r="N19" i="21" s="1"/>
  <c r="N20" i="21" s="1"/>
  <c r="F48" i="9"/>
  <c r="F27" i="9" s="1"/>
  <c r="D26" i="18"/>
  <c r="D81" i="19" s="1"/>
  <c r="I76" i="19"/>
  <c r="H76" i="21" s="1"/>
  <c r="I22" i="18"/>
  <c r="M14" i="21"/>
  <c r="M19" i="21" s="1"/>
  <c r="M20" i="21" s="1"/>
  <c r="E46" i="9"/>
  <c r="E25" i="9" s="1"/>
  <c r="F19" i="21"/>
  <c r="M152" i="21" s="1"/>
  <c r="F5" i="21"/>
  <c r="I22" i="17"/>
  <c r="D26" i="17"/>
  <c r="L2" i="16"/>
  <c r="L16" i="21"/>
  <c r="D117" i="10" s="1"/>
  <c r="D48" i="9"/>
  <c r="D27" i="9" s="1"/>
  <c r="L12" i="21"/>
  <c r="D96" i="10" s="1"/>
  <c r="D44" i="9"/>
  <c r="D23" i="9" s="1"/>
  <c r="J23" i="16"/>
  <c r="E23" i="21" s="1"/>
  <c r="L19" i="16"/>
  <c r="L20" i="16" s="1"/>
  <c r="C96" i="10"/>
  <c r="C44" i="9"/>
  <c r="C23" i="9" s="1"/>
  <c r="C10" i="2"/>
  <c r="D154" i="21"/>
  <c r="C136" i="2"/>
  <c r="B49" i="4" s="1"/>
  <c r="M7" i="3"/>
  <c r="J73" i="16"/>
  <c r="E73" i="21" s="1"/>
  <c r="K70" i="16"/>
  <c r="F212" i="20"/>
  <c r="D144" i="21"/>
  <c r="C139" i="2" s="1"/>
  <c r="B52" i="4" s="1"/>
  <c r="G19" i="21"/>
  <c r="N152" i="21" s="1"/>
  <c r="D138" i="21"/>
  <c r="E19" i="21"/>
  <c r="L152" i="21" s="1"/>
  <c r="G5" i="21"/>
  <c r="E5" i="21"/>
  <c r="H5" i="21"/>
  <c r="H19" i="21"/>
  <c r="O152" i="21" s="1"/>
  <c r="I22" i="19"/>
  <c r="I107" i="19"/>
  <c r="H107" i="21" s="1"/>
  <c r="C174" i="18"/>
  <c r="I23" i="17"/>
  <c r="F23" i="21" s="1"/>
  <c r="I79" i="18"/>
  <c r="E2" i="21"/>
  <c r="K37" i="21"/>
  <c r="D62" i="21"/>
  <c r="D64" i="21" s="1"/>
  <c r="C85" i="16"/>
  <c r="C85" i="21"/>
  <c r="C98" i="14"/>
  <c r="E172" i="21"/>
  <c r="I179" i="18"/>
  <c r="I179" i="17"/>
  <c r="F179" i="21" s="1"/>
  <c r="E75" i="19"/>
  <c r="I75" i="19" s="1"/>
  <c r="H75" i="21" s="1"/>
  <c r="I146" i="18"/>
  <c r="G146" i="21" s="1"/>
  <c r="H90" i="16"/>
  <c r="H98" i="16" s="1"/>
  <c r="H85" i="16"/>
  <c r="J179" i="16"/>
  <c r="E179" i="21" s="1"/>
  <c r="D143" i="21"/>
  <c r="C138" i="2" s="1"/>
  <c r="B51" i="4" s="1"/>
  <c r="D142" i="21"/>
  <c r="C137" i="2" s="1"/>
  <c r="B50" i="4" s="1"/>
  <c r="D196" i="21"/>
  <c r="I105" i="19"/>
  <c r="C105" i="20"/>
  <c r="J196" i="16"/>
  <c r="J201" i="16" s="1"/>
  <c r="C98" i="16"/>
  <c r="I79" i="19"/>
  <c r="H79" i="21" s="1"/>
  <c r="C130" i="17"/>
  <c r="I130" i="17" s="1"/>
  <c r="F130" i="21" s="1"/>
  <c r="I110" i="17"/>
  <c r="I115" i="17" s="1"/>
  <c r="I128" i="17" s="1"/>
  <c r="D19" i="21"/>
  <c r="D5" i="21"/>
  <c r="I169" i="17"/>
  <c r="F169" i="21" s="1"/>
  <c r="F172" i="21" s="1"/>
  <c r="I180" i="18"/>
  <c r="G180" i="21" s="1"/>
  <c r="C176" i="19"/>
  <c r="I176" i="18"/>
  <c r="G176" i="21" s="1"/>
  <c r="I78" i="19"/>
  <c r="H78" i="21" s="1"/>
  <c r="H162" i="19"/>
  <c r="H163" i="19" s="1"/>
  <c r="H203" i="19" s="1"/>
  <c r="H211" i="19" s="1"/>
  <c r="H91" i="19"/>
  <c r="H85" i="19"/>
  <c r="N128" i="18"/>
  <c r="H162" i="20"/>
  <c r="H163" i="20" s="1"/>
  <c r="H203" i="20" s="1"/>
  <c r="H91" i="20"/>
  <c r="H85" i="20"/>
  <c r="I78" i="20"/>
  <c r="I78" i="21" s="1"/>
  <c r="H162" i="17"/>
  <c r="H163" i="17" s="1"/>
  <c r="H203" i="17" s="1"/>
  <c r="H85" i="17"/>
  <c r="I78" i="17"/>
  <c r="F78" i="21" s="1"/>
  <c r="H91" i="17"/>
  <c r="I103" i="20"/>
  <c r="I103" i="21" s="1"/>
  <c r="D26" i="21"/>
  <c r="C24" i="2" s="1"/>
  <c r="J76" i="16"/>
  <c r="I85" i="16"/>
  <c r="I91" i="16"/>
  <c r="I162" i="16"/>
  <c r="I163" i="16" s="1"/>
  <c r="I203" i="16" s="1"/>
  <c r="J78" i="16"/>
  <c r="E78" i="21" s="1"/>
  <c r="I77" i="19"/>
  <c r="H77" i="21" s="1"/>
  <c r="G90" i="19"/>
  <c r="I90" i="19" s="1"/>
  <c r="C199" i="19"/>
  <c r="I199" i="18"/>
  <c r="G199" i="21" s="1"/>
  <c r="G138" i="21"/>
  <c r="C221" i="21"/>
  <c r="D86" i="21"/>
  <c r="C84" i="2" s="1"/>
  <c r="F85" i="18"/>
  <c r="F211" i="18" s="1"/>
  <c r="I179" i="19"/>
  <c r="C180" i="19"/>
  <c r="D207" i="21"/>
  <c r="I170" i="20"/>
  <c r="I170" i="21" s="1"/>
  <c r="I166" i="18"/>
  <c r="G166" i="21" s="1"/>
  <c r="C166" i="19"/>
  <c r="C155" i="20"/>
  <c r="I155" i="19"/>
  <c r="H155" i="21" s="1"/>
  <c r="I26" i="20"/>
  <c r="I26" i="21" s="1"/>
  <c r="K154" i="21"/>
  <c r="I107" i="20"/>
  <c r="I107" i="21" s="1"/>
  <c r="D77" i="21"/>
  <c r="C200" i="19"/>
  <c r="I200" i="18"/>
  <c r="G200" i="21" s="1"/>
  <c r="H85" i="18"/>
  <c r="H162" i="18"/>
  <c r="H163" i="18" s="1"/>
  <c r="H203" i="18" s="1"/>
  <c r="I78" i="18"/>
  <c r="G78" i="21" s="1"/>
  <c r="H91" i="18"/>
  <c r="J86" i="16"/>
  <c r="E86" i="21" s="1"/>
  <c r="K22" i="20"/>
  <c r="K23" i="20" s="1"/>
  <c r="I22" i="21"/>
  <c r="P22" i="21" s="1"/>
  <c r="P23" i="21" s="1"/>
  <c r="G154" i="21"/>
  <c r="K22" i="18"/>
  <c r="K23" i="18" s="1"/>
  <c r="G22" i="21"/>
  <c r="N22" i="21" s="1"/>
  <c r="N23" i="21" s="1"/>
  <c r="C182" i="17"/>
  <c r="C188" i="17" s="1"/>
  <c r="J130" i="16"/>
  <c r="M111" i="21"/>
  <c r="N111" i="21"/>
  <c r="D108" i="21"/>
  <c r="D182" i="21"/>
  <c r="C176" i="2" s="1"/>
  <c r="B81" i="4" s="1"/>
  <c r="F175" i="21"/>
  <c r="E110" i="21"/>
  <c r="D127" i="21"/>
  <c r="C175" i="18"/>
  <c r="C162" i="16"/>
  <c r="C194" i="20"/>
  <c r="I74" i="21"/>
  <c r="C182" i="18"/>
  <c r="C188" i="18" s="1"/>
  <c r="C182" i="20"/>
  <c r="I182" i="20" s="1"/>
  <c r="D179" i="21"/>
  <c r="D92" i="16"/>
  <c r="J92" i="16" s="1"/>
  <c r="E79" i="21"/>
  <c r="I110" i="18"/>
  <c r="I115" i="18" s="1"/>
  <c r="I128" i="18" s="1"/>
  <c r="E75" i="16"/>
  <c r="J75" i="16" s="1"/>
  <c r="C182" i="16"/>
  <c r="C165" i="19"/>
  <c r="I79" i="17"/>
  <c r="E75" i="17"/>
  <c r="I75" i="17" s="1"/>
  <c r="F77" i="21"/>
  <c r="G90" i="17"/>
  <c r="I90" i="17" s="1"/>
  <c r="G85" i="17"/>
  <c r="C169" i="19"/>
  <c r="I169" i="19" s="1"/>
  <c r="C220" i="16"/>
  <c r="I76" i="18"/>
  <c r="E75" i="18"/>
  <c r="G90" i="18"/>
  <c r="I90" i="18" s="1"/>
  <c r="G77" i="21"/>
  <c r="G85" i="18"/>
  <c r="F220" i="18"/>
  <c r="C182" i="19"/>
  <c r="G85" i="19"/>
  <c r="C220" i="18"/>
  <c r="H23" i="21"/>
  <c r="I79" i="20"/>
  <c r="E75" i="20"/>
  <c r="I75" i="20" s="1"/>
  <c r="I76" i="20"/>
  <c r="G85" i="20"/>
  <c r="G211" i="20" s="1"/>
  <c r="G90" i="20"/>
  <c r="I90" i="20" s="1"/>
  <c r="I77" i="21"/>
  <c r="I220" i="20"/>
  <c r="I146" i="21"/>
  <c r="F98" i="20"/>
  <c r="I87" i="21"/>
  <c r="I146" i="19"/>
  <c r="I148" i="19" s="1"/>
  <c r="H151" i="21"/>
  <c r="C221" i="19"/>
  <c r="F220" i="19"/>
  <c r="F85" i="19"/>
  <c r="F211" i="19" s="1"/>
  <c r="H74" i="21"/>
  <c r="F87" i="19"/>
  <c r="I87" i="19" s="1"/>
  <c r="C220" i="19"/>
  <c r="F98" i="18"/>
  <c r="G87" i="21"/>
  <c r="F151" i="21"/>
  <c r="C221" i="17"/>
  <c r="C220" i="17"/>
  <c r="F220" i="17"/>
  <c r="F85" i="17"/>
  <c r="F211" i="17" s="1"/>
  <c r="F74" i="21"/>
  <c r="F87" i="17"/>
  <c r="I87" i="17" s="1"/>
  <c r="I146" i="17"/>
  <c r="I148" i="17" s="1"/>
  <c r="F220" i="16"/>
  <c r="F87" i="16"/>
  <c r="J87" i="16" s="1"/>
  <c r="E74" i="21"/>
  <c r="F85" i="16"/>
  <c r="J207" i="16"/>
  <c r="E207" i="21" s="1"/>
  <c r="C221" i="16"/>
  <c r="F220" i="15"/>
  <c r="D159" i="21"/>
  <c r="D162" i="21"/>
  <c r="C156" i="2" s="1"/>
  <c r="B67" i="4" s="1"/>
  <c r="C221" i="15"/>
  <c r="J227" i="15"/>
  <c r="P129" i="15"/>
  <c r="O128" i="15"/>
  <c r="F163" i="14"/>
  <c r="F203" i="14" s="1"/>
  <c r="I220" i="14"/>
  <c r="D98" i="14"/>
  <c r="O2" i="14"/>
  <c r="H221" i="14"/>
  <c r="E220" i="14"/>
  <c r="E163" i="14"/>
  <c r="O128" i="14"/>
  <c r="I177" i="14"/>
  <c r="I129" i="14"/>
  <c r="E85" i="14"/>
  <c r="E221" i="14"/>
  <c r="L22" i="14"/>
  <c r="L23" i="14" s="1"/>
  <c r="E188" i="14"/>
  <c r="I188" i="14"/>
  <c r="I115" i="14"/>
  <c r="I128" i="14" s="1"/>
  <c r="I221" i="14"/>
  <c r="O22" i="14"/>
  <c r="O23" i="14" s="1"/>
  <c r="D85" i="14"/>
  <c r="H98" i="14"/>
  <c r="I172" i="14"/>
  <c r="C173" i="2" l="1"/>
  <c r="B78" i="4" s="1"/>
  <c r="H211" i="18"/>
  <c r="D159" i="19"/>
  <c r="D163" i="19" s="1"/>
  <c r="D203" i="19" s="1"/>
  <c r="G211" i="17"/>
  <c r="C106" i="2"/>
  <c r="B25" i="4" s="1"/>
  <c r="D115" i="21"/>
  <c r="D128" i="21" s="1"/>
  <c r="E203" i="17"/>
  <c r="I26" i="17"/>
  <c r="F26" i="21" s="1"/>
  <c r="D81" i="18"/>
  <c r="D159" i="18" s="1"/>
  <c r="D163" i="18" s="1"/>
  <c r="D203" i="18" s="1"/>
  <c r="N197" i="21"/>
  <c r="C134" i="2"/>
  <c r="B47" i="4" s="1"/>
  <c r="C149" i="2"/>
  <c r="B60" i="4" s="1"/>
  <c r="G211" i="18"/>
  <c r="C154" i="2"/>
  <c r="B65" i="4" s="1"/>
  <c r="I26" i="19"/>
  <c r="H26" i="21" s="1"/>
  <c r="D81" i="20"/>
  <c r="D159" i="20" s="1"/>
  <c r="D163" i="20" s="1"/>
  <c r="D203" i="20" s="1"/>
  <c r="E203" i="18"/>
  <c r="H211" i="20"/>
  <c r="F117" i="10"/>
  <c r="C135" i="14"/>
  <c r="I130" i="14"/>
  <c r="H211" i="16"/>
  <c r="H212" i="16" s="1"/>
  <c r="H211" i="17"/>
  <c r="I2" i="17"/>
  <c r="C2" i="18" s="1"/>
  <c r="L154" i="21"/>
  <c r="J26" i="16"/>
  <c r="E26" i="21" s="1"/>
  <c r="C201" i="19"/>
  <c r="J129" i="16"/>
  <c r="J135" i="16" s="1"/>
  <c r="J136" i="16" s="1"/>
  <c r="I211" i="16"/>
  <c r="I212" i="16" s="1"/>
  <c r="E203" i="14"/>
  <c r="E211" i="14" s="1"/>
  <c r="C129" i="21"/>
  <c r="I172" i="17"/>
  <c r="F211" i="16"/>
  <c r="F212" i="16" s="1"/>
  <c r="C86" i="17"/>
  <c r="I165" i="19"/>
  <c r="C172" i="19"/>
  <c r="I180" i="19"/>
  <c r="H180" i="21" s="1"/>
  <c r="C188" i="19"/>
  <c r="C174" i="19"/>
  <c r="C174" i="20" s="1"/>
  <c r="C177" i="18"/>
  <c r="I201" i="18"/>
  <c r="F174" i="21"/>
  <c r="F177" i="21" s="1"/>
  <c r="I177" i="17"/>
  <c r="I172" i="18"/>
  <c r="I148" i="18"/>
  <c r="H179" i="21"/>
  <c r="I220" i="18"/>
  <c r="I194" i="20"/>
  <c r="I194" i="21" s="1"/>
  <c r="C188" i="16"/>
  <c r="J182" i="16"/>
  <c r="H105" i="21"/>
  <c r="E154" i="21"/>
  <c r="E148" i="16"/>
  <c r="E203" i="16" s="1"/>
  <c r="E129" i="21"/>
  <c r="E138" i="21"/>
  <c r="J148" i="16"/>
  <c r="C136" i="14"/>
  <c r="C203" i="14" s="1"/>
  <c r="C211" i="14" s="1"/>
  <c r="G96" i="10"/>
  <c r="F212" i="18"/>
  <c r="K19" i="21"/>
  <c r="K20" i="21" s="1"/>
  <c r="J90" i="16"/>
  <c r="E90" i="21" s="1"/>
  <c r="L19" i="21"/>
  <c r="L20" i="21" s="1"/>
  <c r="E96" i="10"/>
  <c r="G53" i="10"/>
  <c r="H3" i="3"/>
  <c r="I4" i="3" s="1"/>
  <c r="F3" i="8"/>
  <c r="F53" i="10"/>
  <c r="E3" i="8"/>
  <c r="G3" i="3"/>
  <c r="I174" i="18"/>
  <c r="M153" i="21"/>
  <c r="E53" i="10"/>
  <c r="F3" i="3"/>
  <c r="D3" i="8"/>
  <c r="D53" i="10"/>
  <c r="E3" i="3"/>
  <c r="C3" i="8"/>
  <c r="E228" i="21"/>
  <c r="E230" i="21" s="1"/>
  <c r="C10" i="8"/>
  <c r="D85" i="21"/>
  <c r="C75" i="2"/>
  <c r="B8" i="4" s="1"/>
  <c r="B3" i="8"/>
  <c r="B6" i="8" s="1"/>
  <c r="C53" i="10"/>
  <c r="D3" i="3"/>
  <c r="D201" i="21"/>
  <c r="C190" i="2"/>
  <c r="B92" i="4" s="1"/>
  <c r="D228" i="21"/>
  <c r="D230" i="21" s="1"/>
  <c r="C201" i="2"/>
  <c r="B98" i="4" s="1"/>
  <c r="B10" i="8"/>
  <c r="L2" i="21"/>
  <c r="C4" i="8"/>
  <c r="E89" i="19"/>
  <c r="I89" i="19" s="1"/>
  <c r="H89" i="21" s="1"/>
  <c r="N153" i="21"/>
  <c r="L153" i="21"/>
  <c r="I81" i="17"/>
  <c r="F81" i="21" s="1"/>
  <c r="O153" i="21"/>
  <c r="G201" i="21"/>
  <c r="C129" i="17"/>
  <c r="I81" i="20"/>
  <c r="I81" i="21" s="1"/>
  <c r="E88" i="19"/>
  <c r="I88" i="19" s="1"/>
  <c r="H88" i="21" s="1"/>
  <c r="D92" i="19"/>
  <c r="I92" i="19" s="1"/>
  <c r="H92" i="21" s="1"/>
  <c r="E85" i="19"/>
  <c r="E211" i="19" s="1"/>
  <c r="E196" i="21"/>
  <c r="E201" i="21" s="1"/>
  <c r="J228" i="15"/>
  <c r="J230" i="15" s="1"/>
  <c r="F2" i="21"/>
  <c r="K2" i="17"/>
  <c r="I200" i="19"/>
  <c r="H200" i="21" s="1"/>
  <c r="C200" i="20"/>
  <c r="D90" i="21"/>
  <c r="C88" i="2" s="1"/>
  <c r="I199" i="19"/>
  <c r="H199" i="21" s="1"/>
  <c r="O197" i="21" s="1"/>
  <c r="C199" i="20"/>
  <c r="E221" i="18"/>
  <c r="I75" i="18"/>
  <c r="G75" i="21" s="1"/>
  <c r="J81" i="16"/>
  <c r="E81" i="21" s="1"/>
  <c r="C175" i="19"/>
  <c r="C175" i="20" s="1"/>
  <c r="I175" i="18"/>
  <c r="I98" i="16"/>
  <c r="J91" i="16"/>
  <c r="E91" i="21" s="1"/>
  <c r="H98" i="20"/>
  <c r="I91" i="20"/>
  <c r="I91" i="21" s="1"/>
  <c r="H98" i="19"/>
  <c r="I91" i="19"/>
  <c r="H91" i="21" s="1"/>
  <c r="I176" i="19"/>
  <c r="H176" i="21" s="1"/>
  <c r="C176" i="20"/>
  <c r="K152" i="21"/>
  <c r="K78" i="21"/>
  <c r="H98" i="18"/>
  <c r="I91" i="18"/>
  <c r="G91" i="21" s="1"/>
  <c r="I166" i="19"/>
  <c r="H166" i="21" s="1"/>
  <c r="C166" i="20"/>
  <c r="H98" i="17"/>
  <c r="I91" i="17"/>
  <c r="F91" i="21" s="1"/>
  <c r="C180" i="20"/>
  <c r="C188" i="20" s="1"/>
  <c r="D130" i="21"/>
  <c r="I105" i="20"/>
  <c r="G148" i="21"/>
  <c r="G212" i="18"/>
  <c r="D163" i="21"/>
  <c r="I155" i="20"/>
  <c r="I155" i="21" s="1"/>
  <c r="I26" i="18"/>
  <c r="G26" i="21" s="1"/>
  <c r="D85" i="19"/>
  <c r="I73" i="17"/>
  <c r="C85" i="17"/>
  <c r="K153" i="21"/>
  <c r="J162" i="16"/>
  <c r="E162" i="21" s="1"/>
  <c r="G212" i="20"/>
  <c r="I182" i="19"/>
  <c r="H182" i="21" s="1"/>
  <c r="K22" i="19"/>
  <c r="K23" i="19" s="1"/>
  <c r="H22" i="21"/>
  <c r="O22" i="21" s="1"/>
  <c r="O23" i="21" s="1"/>
  <c r="I182" i="18"/>
  <c r="G182" i="21" s="1"/>
  <c r="I182" i="17"/>
  <c r="I188" i="17" s="1"/>
  <c r="G212" i="17"/>
  <c r="K22" i="17"/>
  <c r="K23" i="17" s="1"/>
  <c r="F22" i="21"/>
  <c r="M22" i="21" s="1"/>
  <c r="M23" i="21" s="1"/>
  <c r="J68" i="16"/>
  <c r="H169" i="21"/>
  <c r="C169" i="20"/>
  <c r="G169" i="21"/>
  <c r="G172" i="21" s="1"/>
  <c r="L22" i="16"/>
  <c r="L23" i="16" s="1"/>
  <c r="E22" i="21"/>
  <c r="L22" i="21" s="1"/>
  <c r="L23" i="21" s="1"/>
  <c r="D145" i="21"/>
  <c r="C140" i="2" s="1"/>
  <c r="B53" i="4" s="1"/>
  <c r="L22" i="15"/>
  <c r="L23" i="15" s="1"/>
  <c r="D22" i="21"/>
  <c r="K108" i="21"/>
  <c r="L111" i="21" s="1"/>
  <c r="I68" i="17"/>
  <c r="F110" i="21"/>
  <c r="E115" i="21"/>
  <c r="E128" i="21" s="1"/>
  <c r="G212" i="19"/>
  <c r="E130" i="21"/>
  <c r="G179" i="21"/>
  <c r="D188" i="21"/>
  <c r="J220" i="15"/>
  <c r="D220" i="21"/>
  <c r="I220" i="21"/>
  <c r="F220" i="21"/>
  <c r="E220" i="21"/>
  <c r="F212" i="19"/>
  <c r="E88" i="16"/>
  <c r="J88" i="16" s="1"/>
  <c r="E85" i="16"/>
  <c r="E75" i="21"/>
  <c r="E89" i="16"/>
  <c r="E76" i="21"/>
  <c r="E92" i="21"/>
  <c r="C165" i="20"/>
  <c r="F75" i="21"/>
  <c r="E85" i="17"/>
  <c r="E211" i="17" s="1"/>
  <c r="E88" i="17"/>
  <c r="I88" i="17" s="1"/>
  <c r="E89" i="17"/>
  <c r="F76" i="21"/>
  <c r="F79" i="21"/>
  <c r="D92" i="17"/>
  <c r="I92" i="17" s="1"/>
  <c r="G98" i="17"/>
  <c r="F90" i="21"/>
  <c r="G90" i="21"/>
  <c r="G98" i="18"/>
  <c r="E88" i="18"/>
  <c r="I88" i="18" s="1"/>
  <c r="E85" i="18"/>
  <c r="G79" i="21"/>
  <c r="D92" i="18"/>
  <c r="I92" i="18" s="1"/>
  <c r="E89" i="18"/>
  <c r="G98" i="19"/>
  <c r="H90" i="21"/>
  <c r="E88" i="20"/>
  <c r="I88" i="20" s="1"/>
  <c r="I75" i="21"/>
  <c r="E85" i="20"/>
  <c r="E221" i="20"/>
  <c r="I90" i="21"/>
  <c r="G98" i="20"/>
  <c r="I79" i="21"/>
  <c r="D92" i="20"/>
  <c r="I92" i="20" s="1"/>
  <c r="E89" i="20"/>
  <c r="F98" i="19"/>
  <c r="H87" i="21"/>
  <c r="I220" i="19"/>
  <c r="E221" i="19"/>
  <c r="I220" i="17"/>
  <c r="F212" i="17"/>
  <c r="E221" i="17"/>
  <c r="F146" i="21"/>
  <c r="F148" i="21" s="1"/>
  <c r="F98" i="17"/>
  <c r="F87" i="21"/>
  <c r="J220" i="16"/>
  <c r="F98" i="16"/>
  <c r="E87" i="21"/>
  <c r="E221" i="16"/>
  <c r="J228" i="16"/>
  <c r="J230" i="16" s="1"/>
  <c r="E221" i="15"/>
  <c r="D129" i="21"/>
  <c r="P128" i="15"/>
  <c r="C162" i="21"/>
  <c r="I207" i="14"/>
  <c r="C207" i="21" s="1"/>
  <c r="H163" i="14"/>
  <c r="H203" i="14" s="1"/>
  <c r="H211" i="14" s="1"/>
  <c r="I148" i="14"/>
  <c r="E98" i="14"/>
  <c r="I98" i="14"/>
  <c r="D163" i="14"/>
  <c r="D203" i="14" s="1"/>
  <c r="D211" i="14" s="1"/>
  <c r="F221" i="14"/>
  <c r="F98" i="14"/>
  <c r="F85" i="14"/>
  <c r="F211" i="14" s="1"/>
  <c r="I85" i="14"/>
  <c r="E135" i="21" l="1"/>
  <c r="E136" i="21" s="1"/>
  <c r="H220" i="21"/>
  <c r="C163" i="21"/>
  <c r="E211" i="18"/>
  <c r="K85" i="21"/>
  <c r="C126" i="2"/>
  <c r="B41" i="4" s="1"/>
  <c r="D135" i="21"/>
  <c r="D136" i="21" s="1"/>
  <c r="I81" i="18"/>
  <c r="G81" i="21" s="1"/>
  <c r="I135" i="14"/>
  <c r="I136" i="14" s="1"/>
  <c r="C130" i="21"/>
  <c r="H188" i="21"/>
  <c r="C201" i="20"/>
  <c r="I188" i="18"/>
  <c r="I201" i="19"/>
  <c r="I165" i="20"/>
  <c r="C172" i="20"/>
  <c r="I188" i="19"/>
  <c r="I174" i="19"/>
  <c r="C177" i="19"/>
  <c r="I174" i="20"/>
  <c r="I174" i="21" s="1"/>
  <c r="C177" i="20"/>
  <c r="G174" i="21"/>
  <c r="I177" i="18"/>
  <c r="I172" i="19"/>
  <c r="I86" i="17"/>
  <c r="F86" i="21" s="1"/>
  <c r="C162" i="17"/>
  <c r="I162" i="17" s="1"/>
  <c r="F162" i="21" s="1"/>
  <c r="C98" i="17"/>
  <c r="E148" i="21"/>
  <c r="E211" i="16"/>
  <c r="E212" i="16" s="1"/>
  <c r="I110" i="19"/>
  <c r="I115" i="19" s="1"/>
  <c r="I128" i="19" s="1"/>
  <c r="C115" i="19"/>
  <c r="C128" i="19" s="1"/>
  <c r="E211" i="20"/>
  <c r="E212" i="20" s="1"/>
  <c r="D211" i="19"/>
  <c r="D212" i="19" s="1"/>
  <c r="I105" i="21"/>
  <c r="I129" i="17"/>
  <c r="I135" i="17" s="1"/>
  <c r="I136" i="17" s="1"/>
  <c r="C135" i="17"/>
  <c r="C136" i="17" s="1"/>
  <c r="E182" i="21"/>
  <c r="E188" i="21" s="1"/>
  <c r="J188" i="16"/>
  <c r="E212" i="19"/>
  <c r="H4" i="3"/>
  <c r="H15" i="3" s="1"/>
  <c r="I16" i="3"/>
  <c r="M2" i="21"/>
  <c r="D4" i="8"/>
  <c r="L8" i="4"/>
  <c r="O8" i="4"/>
  <c r="K22" i="21"/>
  <c r="K23" i="21" s="1"/>
  <c r="C20" i="2"/>
  <c r="F73" i="21"/>
  <c r="M154" i="21" s="1"/>
  <c r="J71" i="17"/>
  <c r="C31" i="12"/>
  <c r="C127" i="2"/>
  <c r="B42" i="4" s="1"/>
  <c r="E67" i="21"/>
  <c r="D31" i="12"/>
  <c r="D30" i="12"/>
  <c r="D22" i="12"/>
  <c r="D26" i="12" s="1"/>
  <c r="C22" i="12"/>
  <c r="C26" i="12" s="1"/>
  <c r="C30" i="12"/>
  <c r="D94" i="20"/>
  <c r="I94" i="20" s="1"/>
  <c r="I94" i="21" s="1"/>
  <c r="D94" i="17"/>
  <c r="I94" i="17" s="1"/>
  <c r="F94" i="21" s="1"/>
  <c r="D85" i="17"/>
  <c r="E212" i="18"/>
  <c r="D85" i="20"/>
  <c r="E98" i="19"/>
  <c r="D94" i="16"/>
  <c r="D98" i="16" s="1"/>
  <c r="H201" i="21"/>
  <c r="G175" i="21"/>
  <c r="D85" i="16"/>
  <c r="D94" i="18"/>
  <c r="I94" i="18" s="1"/>
  <c r="G94" i="21" s="1"/>
  <c r="D85" i="18"/>
  <c r="C228" i="21"/>
  <c r="C230" i="21" s="1"/>
  <c r="I166" i="20"/>
  <c r="I166" i="21" s="1"/>
  <c r="I175" i="19"/>
  <c r="I180" i="20"/>
  <c r="I2" i="18"/>
  <c r="C73" i="18"/>
  <c r="C86" i="18"/>
  <c r="I169" i="20"/>
  <c r="I169" i="21" s="1"/>
  <c r="I89" i="20"/>
  <c r="I89" i="21" s="1"/>
  <c r="I89" i="18"/>
  <c r="G89" i="21" s="1"/>
  <c r="I89" i="17"/>
  <c r="I175" i="20"/>
  <c r="I175" i="21" s="1"/>
  <c r="I81" i="19"/>
  <c r="H81" i="21" s="1"/>
  <c r="D94" i="19"/>
  <c r="I176" i="20"/>
  <c r="I176" i="21" s="1"/>
  <c r="I199" i="20"/>
  <c r="I199" i="21" s="1"/>
  <c r="P197" i="21" s="1"/>
  <c r="I200" i="20"/>
  <c r="I200" i="21" s="1"/>
  <c r="I221" i="19"/>
  <c r="H146" i="21"/>
  <c r="I221" i="20"/>
  <c r="I76" i="21"/>
  <c r="I221" i="21" s="1"/>
  <c r="F182" i="21"/>
  <c r="F188" i="21" s="1"/>
  <c r="J89" i="16"/>
  <c r="I85" i="17"/>
  <c r="G76" i="21"/>
  <c r="G221" i="21" s="1"/>
  <c r="E85" i="21"/>
  <c r="E221" i="21"/>
  <c r="F221" i="21"/>
  <c r="I221" i="17"/>
  <c r="D146" i="21"/>
  <c r="J221" i="15"/>
  <c r="D68" i="21"/>
  <c r="D67" i="21"/>
  <c r="F115" i="21"/>
  <c r="F128" i="21" s="1"/>
  <c r="I68" i="18"/>
  <c r="G110" i="21"/>
  <c r="E68" i="21"/>
  <c r="H165" i="21"/>
  <c r="I67" i="17"/>
  <c r="I182" i="21"/>
  <c r="G188" i="21"/>
  <c r="G220" i="21"/>
  <c r="D87" i="21"/>
  <c r="C85" i="2" s="1"/>
  <c r="J221" i="16"/>
  <c r="J85" i="16"/>
  <c r="E98" i="16"/>
  <c r="C130" i="18"/>
  <c r="C129" i="18"/>
  <c r="E212" i="17"/>
  <c r="F88" i="21"/>
  <c r="E98" i="17"/>
  <c r="I221" i="18"/>
  <c r="E98" i="18"/>
  <c r="G88" i="21"/>
  <c r="I92" i="21"/>
  <c r="I88" i="21"/>
  <c r="E98" i="20"/>
  <c r="D212" i="14"/>
  <c r="I163" i="14"/>
  <c r="I203" i="14" s="1"/>
  <c r="I211" i="14" s="1"/>
  <c r="C212" i="14"/>
  <c r="I228" i="14"/>
  <c r="I230" i="14" s="1"/>
  <c r="C135" i="21" l="1"/>
  <c r="C136" i="21" s="1"/>
  <c r="C203" i="21" s="1"/>
  <c r="H172" i="21"/>
  <c r="F129" i="21"/>
  <c r="E31" i="12" s="1"/>
  <c r="H110" i="21"/>
  <c r="H115" i="21" s="1"/>
  <c r="H128" i="21" s="1"/>
  <c r="H174" i="21"/>
  <c r="I177" i="19"/>
  <c r="G177" i="21"/>
  <c r="I201" i="20"/>
  <c r="I177" i="20"/>
  <c r="I180" i="21"/>
  <c r="I188" i="21" s="1"/>
  <c r="I188" i="20"/>
  <c r="I172" i="20"/>
  <c r="I110" i="20"/>
  <c r="I115" i="20" s="1"/>
  <c r="I128" i="20" s="1"/>
  <c r="C115" i="20"/>
  <c r="C128" i="20" s="1"/>
  <c r="D211" i="20"/>
  <c r="D212" i="20" s="1"/>
  <c r="D211" i="18"/>
  <c r="D212" i="18" s="1"/>
  <c r="D211" i="17"/>
  <c r="D212" i="17" s="1"/>
  <c r="D211" i="16"/>
  <c r="D212" i="16" s="1"/>
  <c r="I129" i="18"/>
  <c r="C135" i="18"/>
  <c r="C136" i="18" s="1"/>
  <c r="J94" i="16"/>
  <c r="E94" i="21" s="1"/>
  <c r="D98" i="20"/>
  <c r="D8" i="4"/>
  <c r="D98" i="17"/>
  <c r="C159" i="17"/>
  <c r="C163" i="17" s="1"/>
  <c r="C203" i="17" s="1"/>
  <c r="C211" i="17" s="1"/>
  <c r="D98" i="21"/>
  <c r="D69" i="21" s="1"/>
  <c r="E89" i="21"/>
  <c r="D221" i="21"/>
  <c r="C141" i="2"/>
  <c r="B54" i="4" s="1"/>
  <c r="F85" i="21"/>
  <c r="F67" i="21"/>
  <c r="E30" i="12"/>
  <c r="E22" i="12"/>
  <c r="E26" i="12" s="1"/>
  <c r="F89" i="21"/>
  <c r="D98" i="18"/>
  <c r="H175" i="21"/>
  <c r="I201" i="21"/>
  <c r="I130" i="18"/>
  <c r="G130" i="21" s="1"/>
  <c r="I73" i="18"/>
  <c r="C85" i="18"/>
  <c r="I177" i="21"/>
  <c r="G2" i="21"/>
  <c r="C2" i="19"/>
  <c r="K2" i="18"/>
  <c r="I94" i="19"/>
  <c r="H94" i="21" s="1"/>
  <c r="D98" i="19"/>
  <c r="C98" i="18"/>
  <c r="C162" i="18"/>
  <c r="I162" i="18" s="1"/>
  <c r="G162" i="21" s="1"/>
  <c r="I86" i="18"/>
  <c r="H221" i="21"/>
  <c r="G92" i="21"/>
  <c r="I67" i="18"/>
  <c r="F92" i="21"/>
  <c r="I165" i="21"/>
  <c r="G115" i="21"/>
  <c r="G128" i="21" s="1"/>
  <c r="E88" i="21"/>
  <c r="F68" i="21"/>
  <c r="I68" i="19"/>
  <c r="C129" i="19"/>
  <c r="C130" i="19"/>
  <c r="I130" i="19" s="1"/>
  <c r="I98" i="17"/>
  <c r="H212" i="14"/>
  <c r="E212" i="14"/>
  <c r="F212" i="14"/>
  <c r="C247" i="21" l="1"/>
  <c r="C253" i="21"/>
  <c r="C244" i="21"/>
  <c r="C252" i="21"/>
  <c r="C251" i="21"/>
  <c r="C254" i="21"/>
  <c r="C250" i="21"/>
  <c r="C246" i="21"/>
  <c r="C248" i="21"/>
  <c r="C242" i="21"/>
  <c r="C255" i="21"/>
  <c r="C211" i="21"/>
  <c r="C245" i="21"/>
  <c r="C249" i="21"/>
  <c r="C243" i="21"/>
  <c r="I172" i="21"/>
  <c r="F135" i="21"/>
  <c r="F136" i="21" s="1"/>
  <c r="H177" i="21"/>
  <c r="C159" i="16"/>
  <c r="J159" i="16" s="1"/>
  <c r="J163" i="16" s="1"/>
  <c r="J203" i="16" s="1"/>
  <c r="J211" i="16" s="1"/>
  <c r="C135" i="19"/>
  <c r="C136" i="19" s="1"/>
  <c r="I135" i="18"/>
  <c r="I136" i="18" s="1"/>
  <c r="J98" i="16"/>
  <c r="J69" i="16" s="1"/>
  <c r="I245" i="14"/>
  <c r="I237" i="14"/>
  <c r="E98" i="21"/>
  <c r="E69" i="21" s="1"/>
  <c r="N2" i="21"/>
  <c r="E4" i="8"/>
  <c r="D148" i="21"/>
  <c r="D203" i="21" s="1"/>
  <c r="C142" i="2"/>
  <c r="B55" i="4" s="1"/>
  <c r="G86" i="21"/>
  <c r="G98" i="21" s="1"/>
  <c r="C159" i="18"/>
  <c r="G67" i="21"/>
  <c r="F22" i="12"/>
  <c r="F26" i="12" s="1"/>
  <c r="F30" i="12"/>
  <c r="C212" i="17"/>
  <c r="I159" i="17"/>
  <c r="I163" i="17" s="1"/>
  <c r="I203" i="17" s="1"/>
  <c r="F98" i="21"/>
  <c r="H67" i="21"/>
  <c r="G22" i="12"/>
  <c r="G26" i="12" s="1"/>
  <c r="G30" i="12"/>
  <c r="I244" i="14"/>
  <c r="I249" i="14"/>
  <c r="I252" i="14"/>
  <c r="I251" i="14"/>
  <c r="I255" i="14"/>
  <c r="I253" i="14"/>
  <c r="I250" i="14"/>
  <c r="I246" i="14"/>
  <c r="I248" i="14"/>
  <c r="I225" i="14"/>
  <c r="I232" i="14" s="1"/>
  <c r="I242" i="14"/>
  <c r="I243" i="14"/>
  <c r="I254" i="14"/>
  <c r="I247" i="14"/>
  <c r="I207" i="18"/>
  <c r="I98" i="18"/>
  <c r="I129" i="19"/>
  <c r="G73" i="21"/>
  <c r="I85" i="18"/>
  <c r="C73" i="19"/>
  <c r="I2" i="19"/>
  <c r="C2" i="20" s="1"/>
  <c r="C86" i="19"/>
  <c r="I207" i="17"/>
  <c r="G68" i="21"/>
  <c r="H68" i="21"/>
  <c r="J242" i="15"/>
  <c r="J225" i="15"/>
  <c r="J232" i="15" s="1"/>
  <c r="J246" i="15"/>
  <c r="J255" i="15"/>
  <c r="J251" i="15"/>
  <c r="J254" i="15"/>
  <c r="J250" i="15"/>
  <c r="J237" i="15"/>
  <c r="J238" i="15" s="1"/>
  <c r="J239" i="15" s="1"/>
  <c r="J253" i="15"/>
  <c r="J245" i="15"/>
  <c r="J244" i="15"/>
  <c r="J243" i="15"/>
  <c r="J252" i="15"/>
  <c r="J248" i="15"/>
  <c r="J249" i="15"/>
  <c r="J247" i="15"/>
  <c r="I68" i="20"/>
  <c r="I110" i="21"/>
  <c r="I115" i="21" s="1"/>
  <c r="I128" i="21" s="1"/>
  <c r="G129" i="21"/>
  <c r="I67" i="19"/>
  <c r="C130" i="20"/>
  <c r="C129" i="20"/>
  <c r="F31" i="12" l="1"/>
  <c r="G135" i="21"/>
  <c r="G136" i="21" s="1"/>
  <c r="D252" i="21"/>
  <c r="D251" i="21"/>
  <c r="D253" i="21"/>
  <c r="D247" i="21"/>
  <c r="D254" i="21"/>
  <c r="D245" i="21"/>
  <c r="D246" i="21"/>
  <c r="D255" i="21"/>
  <c r="D244" i="21"/>
  <c r="D250" i="21"/>
  <c r="D243" i="21"/>
  <c r="D211" i="21"/>
  <c r="D249" i="21"/>
  <c r="D242" i="21"/>
  <c r="D248" i="21"/>
  <c r="C237" i="21"/>
  <c r="C238" i="21" s="1"/>
  <c r="D235" i="21" s="1"/>
  <c r="C212" i="21"/>
  <c r="C225" i="21"/>
  <c r="C223" i="21"/>
  <c r="C257" i="21"/>
  <c r="C163" i="16"/>
  <c r="C203" i="16" s="1"/>
  <c r="C211" i="16" s="1"/>
  <c r="C212" i="16" s="1"/>
  <c r="I159" i="18"/>
  <c r="I163" i="18" s="1"/>
  <c r="I203" i="18" s="1"/>
  <c r="I246" i="18" s="1"/>
  <c r="C163" i="18"/>
  <c r="C203" i="18" s="1"/>
  <c r="C211" i="18" s="1"/>
  <c r="C212" i="18" s="1"/>
  <c r="I211" i="17"/>
  <c r="H129" i="21"/>
  <c r="I135" i="19"/>
  <c r="I136" i="19" s="1"/>
  <c r="I129" i="20"/>
  <c r="C135" i="20"/>
  <c r="C136" i="20" s="1"/>
  <c r="G207" i="21"/>
  <c r="D66" i="21"/>
  <c r="G228" i="21"/>
  <c r="G230" i="21" s="1"/>
  <c r="E10" i="8"/>
  <c r="D225" i="21"/>
  <c r="D232" i="21" s="1"/>
  <c r="E159" i="21"/>
  <c r="F159" i="21"/>
  <c r="I225" i="17"/>
  <c r="H22" i="12"/>
  <c r="H26" i="12" s="1"/>
  <c r="H30" i="12"/>
  <c r="I228" i="18"/>
  <c r="I230" i="18" s="1"/>
  <c r="I212" i="14"/>
  <c r="G69" i="21"/>
  <c r="I257" i="14"/>
  <c r="I69" i="18"/>
  <c r="I68" i="21"/>
  <c r="I67" i="21"/>
  <c r="I69" i="17"/>
  <c r="I86" i="19"/>
  <c r="C159" i="19" s="1"/>
  <c r="C98" i="19"/>
  <c r="C162" i="19"/>
  <c r="I162" i="19" s="1"/>
  <c r="H162" i="21" s="1"/>
  <c r="G159" i="21"/>
  <c r="I2" i="20"/>
  <c r="H2" i="21"/>
  <c r="K2" i="19"/>
  <c r="J257" i="15"/>
  <c r="I73" i="19"/>
  <c r="C85" i="19"/>
  <c r="N154" i="21"/>
  <c r="G85" i="21"/>
  <c r="I130" i="20"/>
  <c r="I130" i="21" s="1"/>
  <c r="F207" i="21"/>
  <c r="I67" i="20"/>
  <c r="I228" i="17"/>
  <c r="I230" i="17" s="1"/>
  <c r="H130" i="21"/>
  <c r="H135" i="21" l="1"/>
  <c r="H136" i="21" s="1"/>
  <c r="G249" i="21"/>
  <c r="D257" i="21"/>
  <c r="G211" i="21"/>
  <c r="G163" i="21"/>
  <c r="G203" i="21" s="1"/>
  <c r="G254" i="21" s="1"/>
  <c r="G255" i="21"/>
  <c r="G31" i="12"/>
  <c r="D212" i="21"/>
  <c r="D223" i="21"/>
  <c r="I211" i="18"/>
  <c r="I212" i="18" s="1"/>
  <c r="C163" i="19"/>
  <c r="C203" i="19" s="1"/>
  <c r="C211" i="19" s="1"/>
  <c r="I135" i="20"/>
  <c r="I136" i="20" s="1"/>
  <c r="N85" i="21"/>
  <c r="D237" i="21"/>
  <c r="D238" i="21" s="1"/>
  <c r="E235" i="21" s="1"/>
  <c r="F228" i="21"/>
  <c r="F230" i="21" s="1"/>
  <c r="D10" i="8"/>
  <c r="J252" i="16"/>
  <c r="J245" i="16"/>
  <c r="J251" i="16"/>
  <c r="J248" i="16"/>
  <c r="J253" i="16"/>
  <c r="J66" i="16"/>
  <c r="J243" i="16"/>
  <c r="J249" i="16"/>
  <c r="J247" i="16"/>
  <c r="J225" i="16"/>
  <c r="J232" i="16" s="1"/>
  <c r="J244" i="16"/>
  <c r="J250" i="16"/>
  <c r="J246" i="16"/>
  <c r="J255" i="16"/>
  <c r="J242" i="16"/>
  <c r="J254" i="16"/>
  <c r="O2" i="21"/>
  <c r="F4" i="8"/>
  <c r="E163" i="21"/>
  <c r="E203" i="21" s="1"/>
  <c r="E255" i="21" s="1"/>
  <c r="L85" i="21"/>
  <c r="I232" i="17"/>
  <c r="I242" i="17"/>
  <c r="I252" i="17"/>
  <c r="I253" i="17"/>
  <c r="I244" i="17"/>
  <c r="I237" i="17"/>
  <c r="I238" i="17" s="1"/>
  <c r="I239" i="17" s="1"/>
  <c r="I245" i="17"/>
  <c r="I248" i="17"/>
  <c r="I66" i="17"/>
  <c r="I247" i="17"/>
  <c r="I243" i="17"/>
  <c r="I246" i="17"/>
  <c r="I250" i="17"/>
  <c r="I249" i="17"/>
  <c r="I254" i="17"/>
  <c r="I251" i="17"/>
  <c r="I255" i="17"/>
  <c r="F163" i="21"/>
  <c r="M85" i="21"/>
  <c r="I245" i="18"/>
  <c r="I250" i="18"/>
  <c r="I66" i="18"/>
  <c r="I225" i="18"/>
  <c r="I232" i="18" s="1"/>
  <c r="I248" i="18"/>
  <c r="I243" i="18"/>
  <c r="I247" i="18"/>
  <c r="I159" i="19"/>
  <c r="I163" i="19" s="1"/>
  <c r="I203" i="19" s="1"/>
  <c r="I249" i="18"/>
  <c r="I254" i="18"/>
  <c r="I255" i="18"/>
  <c r="H86" i="21"/>
  <c r="H98" i="21" s="1"/>
  <c r="I207" i="19"/>
  <c r="I98" i="19"/>
  <c r="I252" i="18"/>
  <c r="I242" i="18"/>
  <c r="I251" i="18"/>
  <c r="I244" i="18"/>
  <c r="I253" i="18"/>
  <c r="I85" i="19"/>
  <c r="H73" i="21"/>
  <c r="C73" i="20"/>
  <c r="C86" i="20"/>
  <c r="F69" i="21"/>
  <c r="G66" i="21"/>
  <c r="I129" i="21"/>
  <c r="F203" i="21" l="1"/>
  <c r="G245" i="21"/>
  <c r="E251" i="21"/>
  <c r="E253" i="21"/>
  <c r="E252" i="21"/>
  <c r="E247" i="21"/>
  <c r="E254" i="21"/>
  <c r="E250" i="21"/>
  <c r="E246" i="21"/>
  <c r="E249" i="21"/>
  <c r="E245" i="21"/>
  <c r="E244" i="21"/>
  <c r="E243" i="21"/>
  <c r="E248" i="21"/>
  <c r="E242" i="21"/>
  <c r="E211" i="21"/>
  <c r="H31" i="12"/>
  <c r="I135" i="21"/>
  <c r="I136" i="21" s="1"/>
  <c r="G252" i="21"/>
  <c r="G251" i="21"/>
  <c r="G247" i="21"/>
  <c r="G253" i="21"/>
  <c r="G246" i="21"/>
  <c r="G248" i="21"/>
  <c r="G244" i="21"/>
  <c r="G250" i="21"/>
  <c r="G242" i="21"/>
  <c r="G243" i="21"/>
  <c r="H207" i="21"/>
  <c r="I211" i="19"/>
  <c r="D239" i="21"/>
  <c r="J257" i="16"/>
  <c r="K212" i="21"/>
  <c r="E66" i="21"/>
  <c r="E225" i="21"/>
  <c r="E232" i="21" s="1"/>
  <c r="J237" i="16"/>
  <c r="J238" i="16" s="1"/>
  <c r="J239" i="16" s="1"/>
  <c r="J212" i="16"/>
  <c r="I257" i="17"/>
  <c r="F66" i="21"/>
  <c r="I212" i="17"/>
  <c r="I237" i="18"/>
  <c r="I238" i="18" s="1"/>
  <c r="I239" i="18" s="1"/>
  <c r="I257" i="18"/>
  <c r="O154" i="21"/>
  <c r="H85" i="21"/>
  <c r="I73" i="20"/>
  <c r="C85" i="20"/>
  <c r="I2" i="21"/>
  <c r="K2" i="20"/>
  <c r="I228" i="19"/>
  <c r="I230" i="19" s="1"/>
  <c r="I69" i="19"/>
  <c r="H159" i="21"/>
  <c r="I86" i="20"/>
  <c r="C159" i="20" s="1"/>
  <c r="C162" i="20"/>
  <c r="I162" i="20" s="1"/>
  <c r="I162" i="21" s="1"/>
  <c r="C98" i="20"/>
  <c r="M212" i="21"/>
  <c r="G225" i="21"/>
  <c r="G232" i="21" s="1"/>
  <c r="I235" i="14"/>
  <c r="I238" i="14" s="1"/>
  <c r="G257" i="21" l="1"/>
  <c r="F10" i="8"/>
  <c r="F247" i="21"/>
  <c r="F252" i="21"/>
  <c r="F251" i="21"/>
  <c r="F253" i="21"/>
  <c r="F244" i="21"/>
  <c r="F250" i="21"/>
  <c r="F254" i="21"/>
  <c r="F246" i="21"/>
  <c r="F242" i="21"/>
  <c r="F257" i="21" s="1"/>
  <c r="F243" i="21"/>
  <c r="F211" i="21"/>
  <c r="F248" i="21"/>
  <c r="F249" i="21"/>
  <c r="F245" i="21"/>
  <c r="F255" i="21"/>
  <c r="H163" i="21"/>
  <c r="F225" i="21"/>
  <c r="F232" i="21" s="1"/>
  <c r="E257" i="21"/>
  <c r="F223" i="21"/>
  <c r="L212" i="21"/>
  <c r="C163" i="20"/>
  <c r="C203" i="20" s="1"/>
  <c r="C211" i="20" s="1"/>
  <c r="P2" i="21"/>
  <c r="G4" i="8"/>
  <c r="E212" i="21"/>
  <c r="E237" i="21"/>
  <c r="E238" i="21" s="1"/>
  <c r="E223" i="21"/>
  <c r="F237" i="21"/>
  <c r="O85" i="21"/>
  <c r="F212" i="21"/>
  <c r="I159" i="20"/>
  <c r="I163" i="20" s="1"/>
  <c r="I203" i="20" s="1"/>
  <c r="H69" i="21"/>
  <c r="H228" i="21"/>
  <c r="H230" i="21" s="1"/>
  <c r="I73" i="21"/>
  <c r="I85" i="20"/>
  <c r="I98" i="20"/>
  <c r="I86" i="21"/>
  <c r="I98" i="21" s="1"/>
  <c r="I207" i="20"/>
  <c r="G212" i="21"/>
  <c r="G237" i="21"/>
  <c r="G223" i="21"/>
  <c r="I239" i="14"/>
  <c r="I207" i="21" l="1"/>
  <c r="I211" i="20"/>
  <c r="E239" i="21"/>
  <c r="F235" i="21"/>
  <c r="F238" i="21" s="1"/>
  <c r="I69" i="21"/>
  <c r="I69" i="20"/>
  <c r="I228" i="20"/>
  <c r="I230" i="20" s="1"/>
  <c r="P154" i="21"/>
  <c r="I85" i="21"/>
  <c r="I159" i="21"/>
  <c r="I163" i="21" l="1"/>
  <c r="G10" i="8"/>
  <c r="G235" i="21"/>
  <c r="G238" i="21" s="1"/>
  <c r="G239" i="21" s="1"/>
  <c r="F239" i="21"/>
  <c r="P85" i="21"/>
  <c r="I228" i="21"/>
  <c r="I230" i="21" s="1"/>
  <c r="H235" i="21" l="1"/>
  <c r="C42" i="11"/>
  <c r="D42" i="11"/>
  <c r="C43" i="11"/>
  <c r="D43" i="11"/>
  <c r="C41" i="11"/>
  <c r="D41" i="11"/>
  <c r="F96" i="2"/>
  <c r="H96" i="2" s="1"/>
  <c r="H97" i="2"/>
  <c r="F98" i="2"/>
  <c r="H98" i="2" s="1"/>
  <c r="E99" i="2"/>
  <c r="F99" i="2"/>
  <c r="H99" i="2" s="1"/>
  <c r="E100" i="2"/>
  <c r="F100" i="2"/>
  <c r="H100" i="2" s="1"/>
  <c r="H101" i="2"/>
  <c r="H103" i="2"/>
  <c r="F104" i="2"/>
  <c r="F121" i="2" s="1"/>
  <c r="H104" i="2"/>
  <c r="F106" i="2"/>
  <c r="H106" i="2" s="1"/>
  <c r="F107" i="2"/>
  <c r="H107" i="2" s="1"/>
  <c r="F108" i="2"/>
  <c r="H108" i="2" s="1"/>
  <c r="F109" i="2"/>
  <c r="H109" i="2" s="1"/>
  <c r="F110" i="2"/>
  <c r="H110" i="2" s="1"/>
  <c r="F111" i="2"/>
  <c r="H111" i="2" s="1"/>
  <c r="F112" i="2"/>
  <c r="H112" i="2" s="1"/>
  <c r="F113" i="2"/>
  <c r="H113" i="2" s="1"/>
  <c r="F114" i="2"/>
  <c r="H114" i="2" s="1"/>
  <c r="F115" i="2"/>
  <c r="H115" i="2" s="1"/>
  <c r="F116" i="2"/>
  <c r="H116" i="2" s="1"/>
  <c r="F117" i="2"/>
  <c r="H117" i="2" s="1"/>
  <c r="F118" i="2"/>
  <c r="H118" i="2" s="1"/>
  <c r="H119" i="2"/>
  <c r="H120" i="2"/>
  <c r="H122" i="2"/>
  <c r="J8" i="3"/>
  <c r="J9" i="3"/>
  <c r="J10" i="3"/>
  <c r="J7" i="3"/>
  <c r="J16" i="3"/>
  <c r="K13" i="6"/>
  <c r="K14" i="6"/>
  <c r="L14" i="6"/>
  <c r="M14" i="6"/>
  <c r="N14" i="6"/>
  <c r="O14" i="6"/>
  <c r="P14" i="6"/>
  <c r="K15" i="6"/>
  <c r="L15" i="6"/>
  <c r="M15" i="6"/>
  <c r="N15" i="6"/>
  <c r="O15" i="6"/>
  <c r="P15" i="6"/>
  <c r="K12" i="6"/>
  <c r="K10" i="6"/>
  <c r="K11" i="6"/>
  <c r="L11" i="6"/>
  <c r="K9" i="6"/>
  <c r="I13" i="6"/>
  <c r="P13" i="6" s="1"/>
  <c r="H13" i="6"/>
  <c r="O13" i="6" s="1"/>
  <c r="G13" i="6"/>
  <c r="N13" i="6" s="1"/>
  <c r="F13" i="6"/>
  <c r="M13" i="6" s="1"/>
  <c r="E13" i="6"/>
  <c r="L13" i="6" s="1"/>
  <c r="I12" i="6"/>
  <c r="P12" i="6" s="1"/>
  <c r="H12" i="6"/>
  <c r="O12" i="6" s="1"/>
  <c r="G12" i="6"/>
  <c r="N12" i="6" s="1"/>
  <c r="F12" i="6"/>
  <c r="M12" i="6" s="1"/>
  <c r="E12" i="6"/>
  <c r="L12" i="6" s="1"/>
  <c r="I11" i="6"/>
  <c r="P11" i="6" s="1"/>
  <c r="H11" i="6"/>
  <c r="O11" i="6" s="1"/>
  <c r="G11" i="6"/>
  <c r="N11" i="6" s="1"/>
  <c r="F11" i="6"/>
  <c r="M11" i="6" s="1"/>
  <c r="I10" i="6"/>
  <c r="P10" i="6" s="1"/>
  <c r="H10" i="6"/>
  <c r="O10" i="6" s="1"/>
  <c r="G10" i="6"/>
  <c r="N10" i="6" s="1"/>
  <c r="F10" i="6"/>
  <c r="M10" i="6" s="1"/>
  <c r="E10" i="6"/>
  <c r="L10" i="6" s="1"/>
  <c r="I9" i="6"/>
  <c r="P9" i="6" s="1"/>
  <c r="H9" i="6"/>
  <c r="O9" i="6" s="1"/>
  <c r="G9" i="6"/>
  <c r="N9" i="6" s="1"/>
  <c r="F9" i="6"/>
  <c r="M9" i="6" s="1"/>
  <c r="E9" i="6"/>
  <c r="L9" i="6" s="1"/>
  <c r="E12" i="2"/>
  <c r="E11" i="2"/>
  <c r="E10" i="2"/>
  <c r="F102" i="2" l="1"/>
  <c r="H102" i="2" s="1"/>
  <c r="H121" i="2"/>
  <c r="F123" i="2" l="1"/>
  <c r="H123" i="2" s="1"/>
  <c r="F12" i="11" l="1"/>
  <c r="F11" i="11"/>
  <c r="F10" i="11"/>
  <c r="G10" i="11" s="1"/>
  <c r="H10" i="11" s="1"/>
  <c r="G9" i="11"/>
  <c r="H9" i="11" s="1"/>
  <c r="E9" i="11"/>
  <c r="G8" i="11"/>
  <c r="H8" i="11" s="1"/>
  <c r="E8" i="11"/>
  <c r="G7" i="11"/>
  <c r="H7" i="11" s="1"/>
  <c r="E7" i="11"/>
  <c r="G6" i="11"/>
  <c r="H6" i="11" s="1"/>
  <c r="E6" i="11"/>
  <c r="G5" i="11"/>
  <c r="H5" i="11" s="1"/>
  <c r="E5" i="11"/>
  <c r="E4" i="11"/>
  <c r="G11" i="11" l="1"/>
  <c r="H11" i="11" s="1"/>
  <c r="G12" i="11"/>
  <c r="H12" i="11" s="1"/>
  <c r="D24" i="10" l="1"/>
  <c r="E24" i="10"/>
  <c r="F24" i="10"/>
  <c r="G24" i="10"/>
  <c r="H24" i="10"/>
  <c r="D64" i="10"/>
  <c r="E64" i="10"/>
  <c r="F64" i="10"/>
  <c r="G64" i="10"/>
  <c r="H64" i="10"/>
  <c r="A5" i="10"/>
  <c r="C13" i="10"/>
  <c r="D12" i="10" s="1"/>
  <c r="D13" i="10" s="1"/>
  <c r="E12" i="10" s="1"/>
  <c r="E13" i="10" s="1"/>
  <c r="F12" i="10" s="1"/>
  <c r="F13" i="10" s="1"/>
  <c r="G12" i="10" s="1"/>
  <c r="G13" i="10" s="1"/>
  <c r="H12" i="10" s="1"/>
  <c r="H13" i="10" s="1"/>
  <c r="C52" i="10"/>
  <c r="D52" i="10"/>
  <c r="E52" i="10"/>
  <c r="F52" i="10"/>
  <c r="G52" i="10"/>
  <c r="H52" i="10"/>
  <c r="C106" i="10"/>
  <c r="C127" i="10"/>
  <c r="D127" i="10"/>
  <c r="E127" i="10"/>
  <c r="F127" i="10"/>
  <c r="G127" i="10"/>
  <c r="H127" i="10"/>
  <c r="A2" i="9"/>
  <c r="A5" i="9"/>
  <c r="C15" i="9"/>
  <c r="D14" i="9" s="1"/>
  <c r="D15" i="9" s="1"/>
  <c r="E14" i="9" s="1"/>
  <c r="E15" i="9" s="1"/>
  <c r="F14" i="9" s="1"/>
  <c r="F15" i="9" s="1"/>
  <c r="G14" i="9" s="1"/>
  <c r="G15" i="9" s="1"/>
  <c r="H14" i="9" s="1"/>
  <c r="H15" i="9" s="1"/>
  <c r="C35" i="9"/>
  <c r="C36" i="9" s="1"/>
  <c r="D35" i="9" s="1"/>
  <c r="D36" i="9" s="1"/>
  <c r="E35" i="9" s="1"/>
  <c r="E36" i="9" s="1"/>
  <c r="F35" i="9" s="1"/>
  <c r="F36" i="9" s="1"/>
  <c r="G35" i="9" s="1"/>
  <c r="G36" i="9" s="1"/>
  <c r="H35" i="9" s="1"/>
  <c r="H36" i="9" s="1"/>
  <c r="C58" i="9"/>
  <c r="C59" i="9" s="1"/>
  <c r="D58" i="9" s="1"/>
  <c r="D59" i="9" s="1"/>
  <c r="E58" i="9" s="1"/>
  <c r="E59" i="9" s="1"/>
  <c r="F58" i="9" s="1"/>
  <c r="F59" i="9" s="1"/>
  <c r="G58" i="9" s="1"/>
  <c r="G59" i="9" s="1"/>
  <c r="H58" i="9" s="1"/>
  <c r="H59" i="9" s="1"/>
  <c r="D73" i="9" l="1"/>
  <c r="C73" i="9"/>
  <c r="C71" i="9"/>
  <c r="D72" i="9"/>
  <c r="E73" i="9"/>
  <c r="C72" i="9"/>
  <c r="H71" i="9"/>
  <c r="H72" i="9"/>
  <c r="H73" i="9"/>
  <c r="H70" i="9"/>
  <c r="G73" i="9"/>
  <c r="G71" i="9"/>
  <c r="G72" i="9"/>
  <c r="G70" i="9"/>
  <c r="F73" i="9"/>
  <c r="F72" i="9"/>
  <c r="F71" i="9"/>
  <c r="F70" i="9"/>
  <c r="F69" i="9"/>
  <c r="E72" i="9"/>
  <c r="E71" i="9"/>
  <c r="E70" i="9"/>
  <c r="E69" i="9"/>
  <c r="D71" i="9"/>
  <c r="D68" i="9"/>
  <c r="C70" i="9"/>
  <c r="C67" i="9"/>
  <c r="D70" i="9"/>
  <c r="D69" i="9"/>
  <c r="C69" i="9"/>
  <c r="C68" i="9"/>
  <c r="C74" i="9" l="1"/>
  <c r="K8" i="6" l="1"/>
  <c r="H68" i="9" l="1"/>
  <c r="H69" i="9"/>
  <c r="H67" i="9"/>
  <c r="G68" i="9"/>
  <c r="G69" i="9"/>
  <c r="G67" i="9"/>
  <c r="F68" i="9"/>
  <c r="F67" i="9"/>
  <c r="E68" i="9"/>
  <c r="E67" i="9"/>
  <c r="D67" i="9"/>
  <c r="D61" i="9"/>
  <c r="F62" i="9"/>
  <c r="F64" i="9"/>
  <c r="H65" i="9"/>
  <c r="F66" i="9"/>
  <c r="E61" i="9"/>
  <c r="G62" i="9"/>
  <c r="F61" i="9"/>
  <c r="F51" i="9"/>
  <c r="L51" i="9" s="1"/>
  <c r="H62" i="9"/>
  <c r="F63" i="9"/>
  <c r="H64" i="9"/>
  <c r="F65" i="9"/>
  <c r="D66" i="9"/>
  <c r="H66" i="9"/>
  <c r="H61" i="9"/>
  <c r="H51" i="9"/>
  <c r="N51" i="9" s="1"/>
  <c r="H63" i="9"/>
  <c r="E63" i="9"/>
  <c r="C51" i="9"/>
  <c r="C30" i="9"/>
  <c r="G64" i="9"/>
  <c r="G66" i="9"/>
  <c r="G61" i="9"/>
  <c r="G51" i="9"/>
  <c r="M51" i="9" s="1"/>
  <c r="E62" i="9"/>
  <c r="G63" i="9"/>
  <c r="E64" i="9"/>
  <c r="G65" i="9"/>
  <c r="G30" i="9" l="1"/>
  <c r="M30" i="9" s="1"/>
  <c r="E51" i="9"/>
  <c r="K51" i="9" s="1"/>
  <c r="H74" i="9"/>
  <c r="N74" i="9" s="1"/>
  <c r="F30" i="9"/>
  <c r="L30" i="9" s="1"/>
  <c r="H30" i="9"/>
  <c r="N30" i="9" s="1"/>
  <c r="D62" i="9"/>
  <c r="F74" i="9"/>
  <c r="L74" i="9" s="1"/>
  <c r="E21" i="12"/>
  <c r="E25" i="12" s="1"/>
  <c r="E45" i="10"/>
  <c r="M45" i="10" s="1"/>
  <c r="G74" i="9"/>
  <c r="M74" i="9" s="1"/>
  <c r="D64" i="9"/>
  <c r="D65" i="9"/>
  <c r="D63" i="9"/>
  <c r="D51" i="9"/>
  <c r="J51" i="9" s="1"/>
  <c r="F21" i="12"/>
  <c r="F25" i="12" s="1"/>
  <c r="F45" i="10"/>
  <c r="N45" i="10" s="1"/>
  <c r="E66" i="9"/>
  <c r="E65" i="9"/>
  <c r="D21" i="12"/>
  <c r="D25" i="12" s="1"/>
  <c r="D45" i="10"/>
  <c r="L45" i="10" s="1"/>
  <c r="K7" i="6"/>
  <c r="C16" i="6"/>
  <c r="P8" i="6"/>
  <c r="N8" i="6"/>
  <c r="L8" i="6"/>
  <c r="P7" i="6"/>
  <c r="O7" i="6"/>
  <c r="N7" i="6"/>
  <c r="M7" i="6"/>
  <c r="L7" i="6"/>
  <c r="P6" i="6"/>
  <c r="O6" i="6"/>
  <c r="N6" i="6"/>
  <c r="M6" i="6"/>
  <c r="L6" i="6"/>
  <c r="K6" i="6"/>
  <c r="P5" i="6"/>
  <c r="O5" i="6"/>
  <c r="N5" i="6"/>
  <c r="M5" i="6"/>
  <c r="L5" i="6"/>
  <c r="K5" i="6"/>
  <c r="P4" i="6"/>
  <c r="O4" i="6"/>
  <c r="N4" i="6"/>
  <c r="M4" i="6"/>
  <c r="L4" i="6"/>
  <c r="K4" i="6"/>
  <c r="O3" i="6"/>
  <c r="M3" i="6"/>
  <c r="K3" i="6"/>
  <c r="C2" i="6"/>
  <c r="H106" i="10"/>
  <c r="G2" i="6" l="1"/>
  <c r="K16" i="6"/>
  <c r="E30" i="9"/>
  <c r="K30" i="9" s="1"/>
  <c r="D30" i="9"/>
  <c r="J30" i="9" s="1"/>
  <c r="E74" i="9"/>
  <c r="K74" i="9" s="1"/>
  <c r="D74" i="9"/>
  <c r="J74" i="9" s="1"/>
  <c r="E16" i="6"/>
  <c r="L3" i="6"/>
  <c r="L16" i="6" s="1"/>
  <c r="I16" i="6"/>
  <c r="P3" i="6"/>
  <c r="P16" i="6" s="1"/>
  <c r="H2" i="6"/>
  <c r="O8" i="6"/>
  <c r="O16" i="6" s="1"/>
  <c r="D16" i="6"/>
  <c r="D2" i="6"/>
  <c r="M16" i="6"/>
  <c r="F2" i="6"/>
  <c r="M8" i="6"/>
  <c r="G16" i="6"/>
  <c r="N3" i="6"/>
  <c r="N16" i="6" s="1"/>
  <c r="E2" i="6"/>
  <c r="I2" i="6"/>
  <c r="F16" i="6"/>
  <c r="H16" i="6"/>
  <c r="H21" i="12" l="1"/>
  <c r="H25" i="12" s="1"/>
  <c r="H45" i="10"/>
  <c r="P45" i="10" s="1"/>
  <c r="H85" i="10"/>
  <c r="H129" i="10" s="1"/>
  <c r="H137" i="10" s="1"/>
  <c r="H138" i="10" l="1"/>
  <c r="G84" i="4" l="1"/>
  <c r="B207" i="2"/>
  <c r="C133" i="2"/>
  <c r="F10" i="2"/>
  <c r="F11" i="2"/>
  <c r="F12" i="2"/>
  <c r="F13" i="2"/>
  <c r="E13" i="2" s="1"/>
  <c r="C171" i="2"/>
  <c r="E17" i="2" l="1"/>
  <c r="E20" i="2" s="1"/>
  <c r="H84" i="4"/>
  <c r="I84" i="4" s="1"/>
  <c r="J84" i="4" s="1"/>
  <c r="K84" i="4" s="1"/>
  <c r="L84" i="4" s="1"/>
  <c r="M84" i="4" s="1"/>
  <c r="N84" i="4" s="1"/>
  <c r="O84" i="4" s="1"/>
  <c r="P84" i="4" s="1"/>
  <c r="C70" i="2"/>
  <c r="C99" i="2"/>
  <c r="C158" i="2"/>
  <c r="C183" i="2"/>
  <c r="C61" i="2"/>
  <c r="B1" i="4"/>
  <c r="C114" i="2"/>
  <c r="C207" i="2"/>
  <c r="A1" i="4"/>
  <c r="C37" i="2"/>
  <c r="C166" i="2"/>
  <c r="D84" i="4" l="1"/>
  <c r="N7" i="3" l="1"/>
  <c r="D106" i="10" l="1"/>
  <c r="E106" i="10" l="1"/>
  <c r="G106" i="10" l="1"/>
  <c r="F106" i="10"/>
  <c r="E85" i="10"/>
  <c r="E129" i="10" s="1"/>
  <c r="E137" i="10" s="1"/>
  <c r="E138" i="10" s="1"/>
  <c r="F85" i="10"/>
  <c r="G85" i="10"/>
  <c r="D85" i="10"/>
  <c r="D129" i="10" s="1"/>
  <c r="D137" i="10" s="1"/>
  <c r="D138" i="10" s="1"/>
  <c r="G129" i="10" l="1"/>
  <c r="G137" i="10" s="1"/>
  <c r="F129" i="10"/>
  <c r="F137" i="10" s="1"/>
  <c r="F138" i="10" s="1"/>
  <c r="C35" i="2"/>
  <c r="C60" i="2" s="1"/>
  <c r="C62" i="2" s="1"/>
  <c r="C21" i="12"/>
  <c r="C25" i="12" s="1"/>
  <c r="G21" i="12"/>
  <c r="G25" i="12" s="1"/>
  <c r="G45" i="10"/>
  <c r="O45" i="10" s="1"/>
  <c r="E30" i="4"/>
  <c r="E31" i="4"/>
  <c r="F31" i="4" s="1"/>
  <c r="E32" i="4"/>
  <c r="F22" i="4"/>
  <c r="F23" i="4"/>
  <c r="G23" i="4" s="1"/>
  <c r="H23" i="4" s="1"/>
  <c r="I23" i="4" s="1"/>
  <c r="J23" i="4" s="1"/>
  <c r="K23" i="4" s="1"/>
  <c r="L23" i="4" s="1"/>
  <c r="M23" i="4" s="1"/>
  <c r="N23" i="4" s="1"/>
  <c r="O23" i="4" s="1"/>
  <c r="P23" i="4" s="1"/>
  <c r="F26" i="4"/>
  <c r="E27" i="4"/>
  <c r="F94" i="4"/>
  <c r="G94" i="4" s="1"/>
  <c r="H94" i="4" s="1"/>
  <c r="I94" i="4" s="1"/>
  <c r="J94" i="4" s="1"/>
  <c r="K94" i="4" s="1"/>
  <c r="L94" i="4" s="1"/>
  <c r="M94" i="4" s="1"/>
  <c r="N94" i="4" s="1"/>
  <c r="O94" i="4" s="1"/>
  <c r="P94" i="4" s="1"/>
  <c r="F95" i="4"/>
  <c r="F96" i="4"/>
  <c r="F87" i="4"/>
  <c r="G87" i="4" s="1"/>
  <c r="H87" i="4" s="1"/>
  <c r="I87" i="4" s="1"/>
  <c r="J87" i="4" s="1"/>
  <c r="K87" i="4" s="1"/>
  <c r="L87" i="4" s="1"/>
  <c r="M87" i="4" s="1"/>
  <c r="N87" i="4" s="1"/>
  <c r="O87" i="4" s="1"/>
  <c r="P87" i="4" s="1"/>
  <c r="F88" i="4"/>
  <c r="G88" i="4" s="1"/>
  <c r="H88" i="4" s="1"/>
  <c r="I88" i="4" s="1"/>
  <c r="J88" i="4" s="1"/>
  <c r="K88" i="4" s="1"/>
  <c r="L88" i="4" s="1"/>
  <c r="M88" i="4" s="1"/>
  <c r="N88" i="4" s="1"/>
  <c r="O88" i="4" s="1"/>
  <c r="P88" i="4" s="1"/>
  <c r="F89" i="4"/>
  <c r="G89" i="4" s="1"/>
  <c r="H89" i="4" s="1"/>
  <c r="I89" i="4" s="1"/>
  <c r="J89" i="4" s="1"/>
  <c r="K89" i="4" s="1"/>
  <c r="L89" i="4" s="1"/>
  <c r="M89" i="4" s="1"/>
  <c r="N89" i="4" s="1"/>
  <c r="O89" i="4" s="1"/>
  <c r="P89" i="4" s="1"/>
  <c r="F91" i="4"/>
  <c r="F93" i="4"/>
  <c r="G93" i="4" s="1"/>
  <c r="H93" i="4" s="1"/>
  <c r="I93" i="4" s="1"/>
  <c r="J93" i="4" s="1"/>
  <c r="K93" i="4" s="1"/>
  <c r="L93" i="4" s="1"/>
  <c r="M93" i="4" s="1"/>
  <c r="N93" i="4" s="1"/>
  <c r="O93" i="4" s="1"/>
  <c r="P93" i="4" s="1"/>
  <c r="F86" i="4"/>
  <c r="F85" i="4"/>
  <c r="F83" i="4"/>
  <c r="G83" i="4" s="1"/>
  <c r="F82" i="4"/>
  <c r="F69" i="4"/>
  <c r="G69" i="4" s="1"/>
  <c r="H69" i="4" s="1"/>
  <c r="I69" i="4" s="1"/>
  <c r="J69" i="4" s="1"/>
  <c r="K69" i="4" s="1"/>
  <c r="L69" i="4" s="1"/>
  <c r="M69" i="4" s="1"/>
  <c r="N69" i="4" s="1"/>
  <c r="O69" i="4" s="1"/>
  <c r="P69" i="4" s="1"/>
  <c r="E71" i="4"/>
  <c r="F71" i="4" s="1"/>
  <c r="G71" i="4" s="1"/>
  <c r="H71" i="4" s="1"/>
  <c r="I71" i="4" s="1"/>
  <c r="J71" i="4" s="1"/>
  <c r="K71" i="4" s="1"/>
  <c r="L71" i="4" s="1"/>
  <c r="M71" i="4" s="1"/>
  <c r="N71" i="4" s="1"/>
  <c r="O71" i="4" s="1"/>
  <c r="P71" i="4" s="1"/>
  <c r="F72" i="4"/>
  <c r="D72" i="4" s="1"/>
  <c r="C72" i="4" s="1"/>
  <c r="F73" i="4"/>
  <c r="F74" i="4"/>
  <c r="D74" i="4" s="1"/>
  <c r="C74" i="4" s="1"/>
  <c r="F68" i="4"/>
  <c r="G68" i="4" s="1"/>
  <c r="H68" i="4" s="1"/>
  <c r="I68" i="4" s="1"/>
  <c r="J68" i="4" s="1"/>
  <c r="K68" i="4" s="1"/>
  <c r="L68" i="4" s="1"/>
  <c r="M68" i="4" s="1"/>
  <c r="N68" i="4" s="1"/>
  <c r="O68" i="4" s="1"/>
  <c r="P68" i="4" s="1"/>
  <c r="I61" i="4"/>
  <c r="K56" i="4"/>
  <c r="E55" i="4"/>
  <c r="I49" i="4"/>
  <c r="J49" i="4" s="1"/>
  <c r="K45" i="4"/>
  <c r="E40" i="4"/>
  <c r="E20" i="4"/>
  <c r="E19" i="4"/>
  <c r="H13" i="4"/>
  <c r="D6" i="4"/>
  <c r="E33" i="4"/>
  <c r="F33" i="4" s="1"/>
  <c r="G33" i="4" s="1"/>
  <c r="H33" i="4" s="1"/>
  <c r="I33" i="4" s="1"/>
  <c r="J33" i="4" s="1"/>
  <c r="K33" i="4" s="1"/>
  <c r="L33" i="4" s="1"/>
  <c r="M33" i="4" s="1"/>
  <c r="N33" i="4" s="1"/>
  <c r="O33" i="4" s="1"/>
  <c r="P33" i="4" s="1"/>
  <c r="E34" i="4"/>
  <c r="E35" i="4"/>
  <c r="F35" i="4" s="1"/>
  <c r="G35" i="4" s="1"/>
  <c r="H35" i="4" s="1"/>
  <c r="I35" i="4" s="1"/>
  <c r="J35" i="4" s="1"/>
  <c r="K35" i="4" s="1"/>
  <c r="L35" i="4" s="1"/>
  <c r="M35" i="4" s="1"/>
  <c r="N35" i="4" s="1"/>
  <c r="O35" i="4" s="1"/>
  <c r="P35" i="4" s="1"/>
  <c r="E36" i="4"/>
  <c r="E37" i="4"/>
  <c r="E38" i="4"/>
  <c r="D44" i="4"/>
  <c r="D48" i="4"/>
  <c r="D62" i="4"/>
  <c r="D64" i="4"/>
  <c r="G70" i="4"/>
  <c r="D70" i="4" s="1"/>
  <c r="D79" i="4"/>
  <c r="D80" i="4"/>
  <c r="G90" i="4"/>
  <c r="H90" i="4" s="1"/>
  <c r="I90" i="4" s="1"/>
  <c r="J90" i="4" s="1"/>
  <c r="E92" i="4"/>
  <c r="D99" i="4"/>
  <c r="K100" i="4"/>
  <c r="P100" i="4"/>
  <c r="N8" i="3"/>
  <c r="N9" i="3"/>
  <c r="N10" i="3"/>
  <c r="I13" i="4" l="1"/>
  <c r="J13" i="4" s="1"/>
  <c r="K13" i="4" s="1"/>
  <c r="L13" i="4" s="1"/>
  <c r="M13" i="4" s="1"/>
  <c r="N13" i="4" s="1"/>
  <c r="O13" i="4" s="1"/>
  <c r="P13" i="4" s="1"/>
  <c r="K77" i="4"/>
  <c r="G77" i="4"/>
  <c r="G76" i="4"/>
  <c r="K76" i="4"/>
  <c r="K75" i="4"/>
  <c r="G75" i="4"/>
  <c r="G138" i="10"/>
  <c r="C85" i="10"/>
  <c r="C129" i="10" s="1"/>
  <c r="C137" i="10" s="1"/>
  <c r="C45" i="10"/>
  <c r="K45" i="10" s="1"/>
  <c r="C80" i="4"/>
  <c r="C99" i="4"/>
  <c r="D33" i="4"/>
  <c r="C33" i="4" s="1"/>
  <c r="C17" i="2"/>
  <c r="F17" i="2" s="1"/>
  <c r="C3" i="2"/>
  <c r="C62" i="4"/>
  <c r="F40" i="4"/>
  <c r="G40" i="4" s="1"/>
  <c r="H40" i="4" s="1"/>
  <c r="I40" i="4" s="1"/>
  <c r="J40" i="4" s="1"/>
  <c r="K40" i="4" s="1"/>
  <c r="L40" i="4" s="1"/>
  <c r="M40" i="4" s="1"/>
  <c r="N40" i="4" s="1"/>
  <c r="O40" i="4" s="1"/>
  <c r="P40" i="4" s="1"/>
  <c r="D40" i="4" s="1"/>
  <c r="C40" i="4" s="1"/>
  <c r="C70" i="4"/>
  <c r="C79" i="4"/>
  <c r="D23" i="4"/>
  <c r="C23" i="4" s="1"/>
  <c r="G26" i="4"/>
  <c r="H26" i="4" s="1"/>
  <c r="I26" i="4" s="1"/>
  <c r="J26" i="4" s="1"/>
  <c r="K26" i="4" s="1"/>
  <c r="L26" i="4" s="1"/>
  <c r="M26" i="4" s="1"/>
  <c r="N26" i="4" s="1"/>
  <c r="O26" i="4" s="1"/>
  <c r="P26" i="4" s="1"/>
  <c r="G22" i="4"/>
  <c r="H22" i="4" s="1"/>
  <c r="I22" i="4" s="1"/>
  <c r="J22" i="4" s="1"/>
  <c r="K22" i="4" s="1"/>
  <c r="L22" i="4" s="1"/>
  <c r="M22" i="4" s="1"/>
  <c r="N22" i="4" s="1"/>
  <c r="O22" i="4" s="1"/>
  <c r="P22" i="4" s="1"/>
  <c r="D93" i="4"/>
  <c r="C93" i="4" s="1"/>
  <c r="D35" i="4"/>
  <c r="C35" i="4" s="1"/>
  <c r="D94" i="4"/>
  <c r="F27" i="4"/>
  <c r="G27" i="4" s="1"/>
  <c r="H27" i="4" s="1"/>
  <c r="I27" i="4" s="1"/>
  <c r="J27" i="4" s="1"/>
  <c r="K27" i="4" s="1"/>
  <c r="L27" i="4" s="1"/>
  <c r="M27" i="4" s="1"/>
  <c r="N27" i="4" s="1"/>
  <c r="O27" i="4" s="1"/>
  <c r="P27" i="4" s="1"/>
  <c r="C64" i="4"/>
  <c r="C48" i="4"/>
  <c r="H83" i="4"/>
  <c r="I83" i="4" s="1"/>
  <c r="J83" i="4" s="1"/>
  <c r="K83" i="4" s="1"/>
  <c r="L83" i="4" s="1"/>
  <c r="M83" i="4" s="1"/>
  <c r="N83" i="4" s="1"/>
  <c r="O83" i="4" s="1"/>
  <c r="P83" i="4" s="1"/>
  <c r="C11" i="4"/>
  <c r="D100" i="4"/>
  <c r="C100" i="4" s="1"/>
  <c r="P45" i="4"/>
  <c r="D45" i="4" s="1"/>
  <c r="C45" i="4" s="1"/>
  <c r="P43" i="4"/>
  <c r="D43" i="4" s="1"/>
  <c r="C43" i="4" s="1"/>
  <c r="C44" i="4"/>
  <c r="G96" i="4"/>
  <c r="H96" i="4" s="1"/>
  <c r="I96" i="4" s="1"/>
  <c r="J96" i="4" s="1"/>
  <c r="K96" i="4" s="1"/>
  <c r="L96" i="4" s="1"/>
  <c r="M96" i="4" s="1"/>
  <c r="N96" i="4" s="1"/>
  <c r="O96" i="4" s="1"/>
  <c r="P96" i="4" s="1"/>
  <c r="G85" i="4"/>
  <c r="H85" i="4" s="1"/>
  <c r="I85" i="4" s="1"/>
  <c r="J85" i="4" s="1"/>
  <c r="K85" i="4" s="1"/>
  <c r="L85" i="4" s="1"/>
  <c r="M85" i="4" s="1"/>
  <c r="N85" i="4" s="1"/>
  <c r="O85" i="4" s="1"/>
  <c r="P85" i="4" s="1"/>
  <c r="D69" i="4"/>
  <c r="C69" i="4" s="1"/>
  <c r="L61" i="4"/>
  <c r="D61" i="4" s="1"/>
  <c r="C61" i="4" s="1"/>
  <c r="P56" i="4"/>
  <c r="D56" i="4" s="1"/>
  <c r="C56" i="4" s="1"/>
  <c r="F37" i="4"/>
  <c r="G37" i="4" s="1"/>
  <c r="H37" i="4" s="1"/>
  <c r="I37" i="4" s="1"/>
  <c r="J37" i="4" s="1"/>
  <c r="K37" i="4" s="1"/>
  <c r="L37" i="4" s="1"/>
  <c r="M37" i="4" s="1"/>
  <c r="N37" i="4" s="1"/>
  <c r="O37" i="4" s="1"/>
  <c r="P37" i="4" s="1"/>
  <c r="K49" i="4"/>
  <c r="L49" i="4" s="1"/>
  <c r="M49" i="4" s="1"/>
  <c r="N49" i="4" s="1"/>
  <c r="O49" i="4" s="1"/>
  <c r="P49" i="4" s="1"/>
  <c r="F38" i="4"/>
  <c r="G91" i="4"/>
  <c r="H91" i="4" s="1"/>
  <c r="I91" i="4" s="1"/>
  <c r="J91" i="4" s="1"/>
  <c r="K91" i="4" s="1"/>
  <c r="L91" i="4" s="1"/>
  <c r="M91" i="4" s="1"/>
  <c r="N91" i="4" s="1"/>
  <c r="O91" i="4" s="1"/>
  <c r="P91" i="4" s="1"/>
  <c r="D90" i="4"/>
  <c r="C90" i="4" s="1"/>
  <c r="D68" i="4"/>
  <c r="C68" i="4" s="1"/>
  <c r="G95" i="4"/>
  <c r="H95" i="4" s="1"/>
  <c r="I95" i="4" s="1"/>
  <c r="J95" i="4" s="1"/>
  <c r="K95" i="4" s="1"/>
  <c r="L95" i="4" s="1"/>
  <c r="M95" i="4" s="1"/>
  <c r="N95" i="4" s="1"/>
  <c r="O95" i="4" s="1"/>
  <c r="P95" i="4" s="1"/>
  <c r="D89" i="4"/>
  <c r="C89" i="4" s="1"/>
  <c r="D88" i="4"/>
  <c r="C88" i="4" s="1"/>
  <c r="G82" i="4"/>
  <c r="H82" i="4" s="1"/>
  <c r="I82" i="4" s="1"/>
  <c r="J82" i="4" s="1"/>
  <c r="K82" i="4" s="1"/>
  <c r="L82" i="4" s="1"/>
  <c r="M82" i="4" s="1"/>
  <c r="N82" i="4" s="1"/>
  <c r="O82" i="4" s="1"/>
  <c r="P82" i="4" s="1"/>
  <c r="D71" i="4"/>
  <c r="C71" i="4" s="1"/>
  <c r="F55" i="4"/>
  <c r="G55" i="4" s="1"/>
  <c r="H55" i="4" s="1"/>
  <c r="I55" i="4" s="1"/>
  <c r="J55" i="4" s="1"/>
  <c r="K55" i="4" s="1"/>
  <c r="L55" i="4" s="1"/>
  <c r="M55" i="4" s="1"/>
  <c r="N55" i="4" s="1"/>
  <c r="O55" i="4" s="1"/>
  <c r="P55" i="4" s="1"/>
  <c r="G86" i="4"/>
  <c r="H86" i="4" s="1"/>
  <c r="I86" i="4" s="1"/>
  <c r="J86" i="4" s="1"/>
  <c r="K86" i="4" s="1"/>
  <c r="L86" i="4" s="1"/>
  <c r="M86" i="4" s="1"/>
  <c r="N86" i="4" s="1"/>
  <c r="O86" i="4" s="1"/>
  <c r="P86" i="4" s="1"/>
  <c r="G73" i="4"/>
  <c r="H73" i="4" s="1"/>
  <c r="I73" i="4" s="1"/>
  <c r="J73" i="4" s="1"/>
  <c r="K73" i="4" s="1"/>
  <c r="L73" i="4" s="1"/>
  <c r="M73" i="4" s="1"/>
  <c r="N73" i="4" s="1"/>
  <c r="O73" i="4" s="1"/>
  <c r="P73" i="4" s="1"/>
  <c r="G31" i="4"/>
  <c r="H31" i="4" s="1"/>
  <c r="I31" i="4" s="1"/>
  <c r="J31" i="4" s="1"/>
  <c r="K31" i="4" s="1"/>
  <c r="L31" i="4" s="1"/>
  <c r="M31" i="4" s="1"/>
  <c r="N31" i="4" s="1"/>
  <c r="O31" i="4" s="1"/>
  <c r="P31" i="4" s="1"/>
  <c r="F30" i="4"/>
  <c r="G30" i="4" s="1"/>
  <c r="H30" i="4" s="1"/>
  <c r="I30" i="4" s="1"/>
  <c r="J30" i="4" s="1"/>
  <c r="K30" i="4" s="1"/>
  <c r="L30" i="4" s="1"/>
  <c r="M30" i="4" s="1"/>
  <c r="N30" i="4" s="1"/>
  <c r="O30" i="4" s="1"/>
  <c r="P30" i="4" s="1"/>
  <c r="F19" i="4"/>
  <c r="F32" i="4"/>
  <c r="G32" i="4" s="1"/>
  <c r="H32" i="4" s="1"/>
  <c r="I32" i="4" s="1"/>
  <c r="J32" i="4" s="1"/>
  <c r="K32" i="4" s="1"/>
  <c r="L32" i="4" s="1"/>
  <c r="M32" i="4" s="1"/>
  <c r="N32" i="4" s="1"/>
  <c r="O32" i="4" s="1"/>
  <c r="P32" i="4" s="1"/>
  <c r="F36" i="4"/>
  <c r="G36" i="4" s="1"/>
  <c r="H36" i="4" s="1"/>
  <c r="I36" i="4" s="1"/>
  <c r="J36" i="4" s="1"/>
  <c r="K36" i="4" s="1"/>
  <c r="L36" i="4" s="1"/>
  <c r="M36" i="4" s="1"/>
  <c r="N36" i="4" s="1"/>
  <c r="O36" i="4" s="1"/>
  <c r="P36" i="4" s="1"/>
  <c r="F34" i="4"/>
  <c r="C6" i="4"/>
  <c r="F20" i="4"/>
  <c r="G20" i="4" s="1"/>
  <c r="H20" i="4" s="1"/>
  <c r="I20" i="4" s="1"/>
  <c r="J20" i="4" s="1"/>
  <c r="K20" i="4" s="1"/>
  <c r="L20" i="4" s="1"/>
  <c r="M20" i="4" s="1"/>
  <c r="N20" i="4" s="1"/>
  <c r="O20" i="4" s="1"/>
  <c r="P20" i="4" s="1"/>
  <c r="D21" i="4"/>
  <c r="C21" i="4" s="1"/>
  <c r="D75" i="4" l="1"/>
  <c r="C75" i="4" s="1"/>
  <c r="D77" i="4"/>
  <c r="C77" i="4" s="1"/>
  <c r="D13" i="4"/>
  <c r="C13" i="4" s="1"/>
  <c r="M14" i="4"/>
  <c r="P14" i="4" s="1"/>
  <c r="D76" i="4"/>
  <c r="C76" i="4" s="1"/>
  <c r="C138" i="10"/>
  <c r="D26" i="4"/>
  <c r="C26" i="4" s="1"/>
  <c r="G34" i="4"/>
  <c r="H34" i="4" s="1"/>
  <c r="I34" i="4" s="1"/>
  <c r="J34" i="4" s="1"/>
  <c r="K34" i="4" s="1"/>
  <c r="L34" i="4" s="1"/>
  <c r="M34" i="4" s="1"/>
  <c r="N34" i="4" s="1"/>
  <c r="O34" i="4" s="1"/>
  <c r="P34" i="4" s="1"/>
  <c r="G38" i="4"/>
  <c r="H38" i="4" s="1"/>
  <c r="I38" i="4" s="1"/>
  <c r="J38" i="4" s="1"/>
  <c r="K38" i="4" s="1"/>
  <c r="L38" i="4" s="1"/>
  <c r="M38" i="4" s="1"/>
  <c r="N38" i="4" s="1"/>
  <c r="O38" i="4" s="1"/>
  <c r="P38" i="4" s="1"/>
  <c r="D32" i="4"/>
  <c r="C32" i="4" s="1"/>
  <c r="D31" i="4"/>
  <c r="C31" i="4" s="1"/>
  <c r="D22" i="4"/>
  <c r="D30" i="4"/>
  <c r="C30" i="4" s="1"/>
  <c r="D27" i="4"/>
  <c r="C27" i="4" s="1"/>
  <c r="D36" i="4"/>
  <c r="C36" i="4" s="1"/>
  <c r="D37" i="4"/>
  <c r="C37" i="4" s="1"/>
  <c r="D86" i="4"/>
  <c r="C86" i="4" s="1"/>
  <c r="D20" i="4"/>
  <c r="C20" i="4" s="1"/>
  <c r="D83" i="4"/>
  <c r="C83" i="4" s="1"/>
  <c r="D82" i="4"/>
  <c r="C82" i="4" s="1"/>
  <c r="D96" i="4"/>
  <c r="C96" i="4" s="1"/>
  <c r="D55" i="4"/>
  <c r="C55" i="4" s="1"/>
  <c r="D85" i="4"/>
  <c r="C85" i="4" s="1"/>
  <c r="D73" i="4"/>
  <c r="C73" i="4" s="1"/>
  <c r="D95" i="4"/>
  <c r="C95" i="4" s="1"/>
  <c r="G19" i="4"/>
  <c r="D91" i="4"/>
  <c r="C91" i="4" s="1"/>
  <c r="D49" i="4"/>
  <c r="C49" i="4" s="1"/>
  <c r="D87" i="4"/>
  <c r="C87" i="4" s="1"/>
  <c r="D14" i="4" l="1"/>
  <c r="C14" i="4" s="1"/>
  <c r="D38" i="4"/>
  <c r="C38" i="4" s="1"/>
  <c r="H32" i="12"/>
  <c r="H35" i="12" s="1"/>
  <c r="D34" i="4"/>
  <c r="C34" i="4" s="1"/>
  <c r="H19" i="4"/>
  <c r="I19" i="4" l="1"/>
  <c r="J19" i="4" l="1"/>
  <c r="K19" i="4" l="1"/>
  <c r="L19" i="4" l="1"/>
  <c r="M19" i="4" l="1"/>
  <c r="N19" i="4" l="1"/>
  <c r="O19" i="4" l="1"/>
  <c r="P19" i="4" l="1"/>
  <c r="D19" i="4" l="1"/>
  <c r="C19" i="4" l="1"/>
  <c r="D27" i="2" l="1"/>
  <c r="F29" i="4"/>
  <c r="E59" i="4" l="1"/>
  <c r="F46" i="4"/>
  <c r="G29" i="4"/>
  <c r="H29" i="4" s="1"/>
  <c r="I29" i="4" s="1"/>
  <c r="J29" i="4" s="1"/>
  <c r="K29" i="4" s="1"/>
  <c r="L29" i="4" s="1"/>
  <c r="M29" i="4" s="1"/>
  <c r="N29" i="4" s="1"/>
  <c r="O29" i="4" s="1"/>
  <c r="P29" i="4" s="1"/>
  <c r="C124" i="2"/>
  <c r="E39" i="4"/>
  <c r="E41" i="4" s="1"/>
  <c r="F28" i="4"/>
  <c r="D28" i="2"/>
  <c r="E63" i="4"/>
  <c r="I5" i="4" l="1"/>
  <c r="H5" i="4"/>
  <c r="O5" i="4"/>
  <c r="G5" i="4"/>
  <c r="N5" i="4"/>
  <c r="M5" i="4"/>
  <c r="P5" i="4"/>
  <c r="L5" i="4"/>
  <c r="K5" i="4"/>
  <c r="J5" i="4"/>
  <c r="C83" i="2"/>
  <c r="F98" i="4"/>
  <c r="F25" i="4"/>
  <c r="F59" i="4"/>
  <c r="G59" i="4" s="1"/>
  <c r="H59" i="4" s="1"/>
  <c r="I59" i="4" s="1"/>
  <c r="J59" i="4" s="1"/>
  <c r="K59" i="4" s="1"/>
  <c r="L59" i="4" s="1"/>
  <c r="M59" i="4" s="1"/>
  <c r="N59" i="4" s="1"/>
  <c r="O59" i="4" s="1"/>
  <c r="P59" i="4" s="1"/>
  <c r="F57" i="4"/>
  <c r="G57" i="4" s="1"/>
  <c r="H57" i="4" s="1"/>
  <c r="I57" i="4" s="1"/>
  <c r="J57" i="4" s="1"/>
  <c r="K57" i="4" s="1"/>
  <c r="L57" i="4" s="1"/>
  <c r="M57" i="4" s="1"/>
  <c r="N57" i="4" s="1"/>
  <c r="O57" i="4" s="1"/>
  <c r="P57" i="4" s="1"/>
  <c r="E6" i="8"/>
  <c r="C6" i="8"/>
  <c r="D6" i="8"/>
  <c r="E58" i="4"/>
  <c r="F58" i="4" s="1"/>
  <c r="G58" i="4" s="1"/>
  <c r="H58" i="4" s="1"/>
  <c r="I58" i="4" s="1"/>
  <c r="J58" i="4" s="1"/>
  <c r="K58" i="4" s="1"/>
  <c r="L58" i="4" s="1"/>
  <c r="M58" i="4" s="1"/>
  <c r="N58" i="4" s="1"/>
  <c r="O58" i="4" s="1"/>
  <c r="P58" i="4" s="1"/>
  <c r="D29" i="4"/>
  <c r="C29" i="4" s="1"/>
  <c r="E60" i="4"/>
  <c r="C195" i="2"/>
  <c r="G46" i="4"/>
  <c r="H46" i="4" s="1"/>
  <c r="I46" i="4" s="1"/>
  <c r="J46" i="4" s="1"/>
  <c r="K46" i="4" s="1"/>
  <c r="L46" i="4" s="1"/>
  <c r="M46" i="4" s="1"/>
  <c r="N46" i="4" s="1"/>
  <c r="O46" i="4" s="1"/>
  <c r="E65" i="4"/>
  <c r="F39" i="4"/>
  <c r="G39" i="4" s="1"/>
  <c r="H39" i="4" s="1"/>
  <c r="I39" i="4" s="1"/>
  <c r="J39" i="4" s="1"/>
  <c r="K39" i="4" s="1"/>
  <c r="L39" i="4" s="1"/>
  <c r="M39" i="4" s="1"/>
  <c r="N39" i="4" s="1"/>
  <c r="O39" i="4" s="1"/>
  <c r="P39" i="4" s="1"/>
  <c r="E42" i="4"/>
  <c r="E4" i="4"/>
  <c r="D20" i="2"/>
  <c r="G28" i="4"/>
  <c r="E51" i="4"/>
  <c r="F51" i="4" s="1"/>
  <c r="G51" i="4" s="1"/>
  <c r="H51" i="4" s="1"/>
  <c r="I51" i="4" s="1"/>
  <c r="J51" i="4" s="1"/>
  <c r="K51" i="4" s="1"/>
  <c r="L51" i="4" s="1"/>
  <c r="M51" i="4" s="1"/>
  <c r="N51" i="4" s="1"/>
  <c r="O51" i="4" s="1"/>
  <c r="P51" i="4" s="1"/>
  <c r="E50" i="4"/>
  <c r="F63" i="4"/>
  <c r="G63" i="4" s="1"/>
  <c r="H63" i="4" s="1"/>
  <c r="I63" i="4" s="1"/>
  <c r="J63" i="4" s="1"/>
  <c r="K63" i="4" s="1"/>
  <c r="L63" i="4" s="1"/>
  <c r="M63" i="4" s="1"/>
  <c r="N63" i="4" s="1"/>
  <c r="O63" i="4" s="1"/>
  <c r="P63" i="4" s="1"/>
  <c r="E52" i="4"/>
  <c r="F52" i="4" s="1"/>
  <c r="G52" i="4" s="1"/>
  <c r="H52" i="4" s="1"/>
  <c r="I52" i="4" s="1"/>
  <c r="J52" i="4" s="1"/>
  <c r="K52" i="4" s="1"/>
  <c r="L52" i="4" s="1"/>
  <c r="M52" i="4" s="1"/>
  <c r="N52" i="4" s="1"/>
  <c r="O52" i="4" s="1"/>
  <c r="P52" i="4" s="1"/>
  <c r="F78" i="4"/>
  <c r="E53" i="4"/>
  <c r="F53" i="4" s="1"/>
  <c r="G53" i="4" s="1"/>
  <c r="H53" i="4" s="1"/>
  <c r="I53" i="4" s="1"/>
  <c r="J53" i="4" s="1"/>
  <c r="K53" i="4" s="1"/>
  <c r="L53" i="4" s="1"/>
  <c r="M53" i="4" s="1"/>
  <c r="N53" i="4" s="1"/>
  <c r="O53" i="4" s="1"/>
  <c r="P53" i="4" s="1"/>
  <c r="E66" i="4"/>
  <c r="J15" i="3"/>
  <c r="F4" i="3"/>
  <c r="G4" i="3"/>
  <c r="D4" i="3"/>
  <c r="E4" i="3"/>
  <c r="G14" i="3" l="1"/>
  <c r="J14" i="3" s="1"/>
  <c r="O10" i="3"/>
  <c r="F13" i="3"/>
  <c r="J13" i="3" s="1"/>
  <c r="O9" i="3"/>
  <c r="O7" i="3"/>
  <c r="G25" i="4"/>
  <c r="G42" i="4" s="1"/>
  <c r="F41" i="4"/>
  <c r="O8" i="3"/>
  <c r="F6" i="8"/>
  <c r="C13" i="8"/>
  <c r="C17" i="8" s="1"/>
  <c r="C96" i="2"/>
  <c r="J11" i="3"/>
  <c r="J12" i="3"/>
  <c r="G98" i="4"/>
  <c r="H98" i="4" s="1"/>
  <c r="I98" i="4" s="1"/>
  <c r="J98" i="4" s="1"/>
  <c r="K98" i="4" s="1"/>
  <c r="L98" i="4" s="1"/>
  <c r="M98" i="4" s="1"/>
  <c r="N98" i="4" s="1"/>
  <c r="O98" i="4" s="1"/>
  <c r="P98" i="4" s="1"/>
  <c r="F4" i="4"/>
  <c r="F16" i="4" s="1"/>
  <c r="E16" i="4"/>
  <c r="C113" i="2"/>
  <c r="C125" i="2" s="1"/>
  <c r="C65" i="2" s="1"/>
  <c r="D59" i="4"/>
  <c r="C214" i="2"/>
  <c r="F92" i="4"/>
  <c r="G92" i="4" s="1"/>
  <c r="H92" i="4" s="1"/>
  <c r="I92" i="4" s="1"/>
  <c r="J92" i="4" s="1"/>
  <c r="K92" i="4" s="1"/>
  <c r="L92" i="4" s="1"/>
  <c r="M92" i="4" s="1"/>
  <c r="N92" i="4" s="1"/>
  <c r="O92" i="4" s="1"/>
  <c r="P92" i="4" s="1"/>
  <c r="E54" i="4"/>
  <c r="B13" i="8"/>
  <c r="F42" i="4"/>
  <c r="B16" i="4"/>
  <c r="E67" i="4"/>
  <c r="E47" i="4"/>
  <c r="F47" i="4" s="1"/>
  <c r="G47" i="4" s="1"/>
  <c r="F66" i="4"/>
  <c r="G66" i="4" s="1"/>
  <c r="H66" i="4" s="1"/>
  <c r="I66" i="4" s="1"/>
  <c r="J66" i="4" s="1"/>
  <c r="K66" i="4" s="1"/>
  <c r="L66" i="4" s="1"/>
  <c r="M66" i="4" s="1"/>
  <c r="N66" i="4" s="1"/>
  <c r="O66" i="4" s="1"/>
  <c r="P66" i="4" s="1"/>
  <c r="D63" i="4"/>
  <c r="C63" i="4" s="1"/>
  <c r="D39" i="4"/>
  <c r="C39" i="4" s="1"/>
  <c r="D46" i="4"/>
  <c r="C46" i="4" s="1"/>
  <c r="H28" i="4"/>
  <c r="F60" i="4"/>
  <c r="G60" i="4" s="1"/>
  <c r="H60" i="4" s="1"/>
  <c r="I60" i="4" s="1"/>
  <c r="J60" i="4" s="1"/>
  <c r="K60" i="4" s="1"/>
  <c r="L60" i="4" s="1"/>
  <c r="M60" i="4" s="1"/>
  <c r="N60" i="4" s="1"/>
  <c r="O60" i="4" s="1"/>
  <c r="P60" i="4" s="1"/>
  <c r="D57" i="4"/>
  <c r="C57" i="4" s="1"/>
  <c r="D7" i="4"/>
  <c r="C7" i="4" s="1"/>
  <c r="D58" i="4"/>
  <c r="C58" i="4" s="1"/>
  <c r="D53" i="4"/>
  <c r="C53" i="4" s="1"/>
  <c r="F50" i="4"/>
  <c r="G50" i="4" s="1"/>
  <c r="H50" i="4" s="1"/>
  <c r="I50" i="4" s="1"/>
  <c r="J50" i="4" s="1"/>
  <c r="K50" i="4" s="1"/>
  <c r="L50" i="4" s="1"/>
  <c r="M50" i="4" s="1"/>
  <c r="N50" i="4" s="1"/>
  <c r="O50" i="4" s="1"/>
  <c r="P50" i="4" s="1"/>
  <c r="D52" i="4"/>
  <c r="C52" i="4" s="1"/>
  <c r="G78" i="4"/>
  <c r="H78" i="4" s="1"/>
  <c r="I78" i="4" s="1"/>
  <c r="J78" i="4" s="1"/>
  <c r="K78" i="4" s="1"/>
  <c r="L78" i="4" s="1"/>
  <c r="M78" i="4" s="1"/>
  <c r="N78" i="4" s="1"/>
  <c r="O78" i="4" s="1"/>
  <c r="P78" i="4" s="1"/>
  <c r="D51" i="4"/>
  <c r="C51" i="4" s="1"/>
  <c r="F65" i="4"/>
  <c r="H25" i="4" l="1"/>
  <c r="H42" i="4" s="1"/>
  <c r="G41" i="4"/>
  <c r="G13" i="8"/>
  <c r="G17" i="8" s="1"/>
  <c r="F13" i="8"/>
  <c r="D13" i="8"/>
  <c r="C15" i="8"/>
  <c r="D98" i="4"/>
  <c r="C98" i="4" s="1"/>
  <c r="G6" i="8"/>
  <c r="F32" i="12"/>
  <c r="F35" i="12" s="1"/>
  <c r="C32" i="12"/>
  <c r="C35" i="12" s="1"/>
  <c r="C66" i="2"/>
  <c r="C132" i="2"/>
  <c r="G32" i="12"/>
  <c r="G35" i="12" s="1"/>
  <c r="D32" i="12"/>
  <c r="D35" i="12" s="1"/>
  <c r="E32" i="12"/>
  <c r="E35" i="12" s="1"/>
  <c r="C215" i="2"/>
  <c r="C143" i="2"/>
  <c r="B17" i="8"/>
  <c r="B15" i="8"/>
  <c r="F97" i="4"/>
  <c r="F81" i="4"/>
  <c r="C182" i="2"/>
  <c r="C157" i="2"/>
  <c r="E101" i="4"/>
  <c r="E102" i="4" s="1"/>
  <c r="E103" i="4" s="1"/>
  <c r="D47" i="4"/>
  <c r="C47" i="4" s="1"/>
  <c r="F54" i="4"/>
  <c r="G54" i="4" s="1"/>
  <c r="H54" i="4" s="1"/>
  <c r="I54" i="4" s="1"/>
  <c r="J54" i="4" s="1"/>
  <c r="K54" i="4" s="1"/>
  <c r="L54" i="4" s="1"/>
  <c r="M54" i="4" s="1"/>
  <c r="N54" i="4" s="1"/>
  <c r="O54" i="4" s="1"/>
  <c r="P54" i="4" s="1"/>
  <c r="F67" i="4"/>
  <c r="G67" i="4" s="1"/>
  <c r="H67" i="4" s="1"/>
  <c r="I67" i="4" s="1"/>
  <c r="J67" i="4" s="1"/>
  <c r="K67" i="4" s="1"/>
  <c r="L67" i="4" s="1"/>
  <c r="M67" i="4" s="1"/>
  <c r="N67" i="4" s="1"/>
  <c r="O67" i="4" s="1"/>
  <c r="P67" i="4" s="1"/>
  <c r="D66" i="4"/>
  <c r="C66" i="4" s="1"/>
  <c r="D60" i="4"/>
  <c r="C60" i="4" s="1"/>
  <c r="I28" i="4"/>
  <c r="D92" i="4"/>
  <c r="C92" i="4" s="1"/>
  <c r="G4" i="4"/>
  <c r="D78" i="4"/>
  <c r="C78" i="4" s="1"/>
  <c r="D50" i="4"/>
  <c r="C50" i="4" s="1"/>
  <c r="G65" i="4"/>
  <c r="I25" i="4" l="1"/>
  <c r="I42" i="4" s="1"/>
  <c r="H41" i="4"/>
  <c r="C212" i="20"/>
  <c r="M12" i="3"/>
  <c r="O12" i="3" s="1"/>
  <c r="M11" i="3"/>
  <c r="C212" i="19"/>
  <c r="G15" i="8"/>
  <c r="F17" i="8"/>
  <c r="G19" i="8" s="1"/>
  <c r="F15" i="8"/>
  <c r="E13" i="8"/>
  <c r="D17" i="8"/>
  <c r="D15" i="8"/>
  <c r="B101" i="4"/>
  <c r="G97" i="4"/>
  <c r="H97" i="4" s="1"/>
  <c r="I97" i="4" s="1"/>
  <c r="J97" i="4" s="1"/>
  <c r="K97" i="4" s="1"/>
  <c r="L97" i="4" s="1"/>
  <c r="M97" i="4" s="1"/>
  <c r="N97" i="4" s="1"/>
  <c r="O97" i="4" s="1"/>
  <c r="P97" i="4" s="1"/>
  <c r="C67" i="2"/>
  <c r="C197" i="2"/>
  <c r="C205" i="2" s="1"/>
  <c r="G81" i="4"/>
  <c r="H81" i="4" s="1"/>
  <c r="I81" i="4" s="1"/>
  <c r="J81" i="4" s="1"/>
  <c r="K81" i="4" s="1"/>
  <c r="L81" i="4" s="1"/>
  <c r="M81" i="4" s="1"/>
  <c r="N81" i="4" s="1"/>
  <c r="O81" i="4" s="1"/>
  <c r="P81" i="4" s="1"/>
  <c r="F101" i="4"/>
  <c r="F102" i="4" s="1"/>
  <c r="F103" i="4" s="1"/>
  <c r="D54" i="4"/>
  <c r="C54" i="4" s="1"/>
  <c r="D67" i="4"/>
  <c r="C67" i="4" s="1"/>
  <c r="J28" i="4"/>
  <c r="H4" i="4"/>
  <c r="H65" i="4"/>
  <c r="N12" i="3" l="1"/>
  <c r="D19" i="8"/>
  <c r="J25" i="4"/>
  <c r="I41" i="4"/>
  <c r="O11" i="3"/>
  <c r="N11" i="3"/>
  <c r="C206" i="2"/>
  <c r="K205" i="2"/>
  <c r="I148" i="21"/>
  <c r="I203" i="21" s="1"/>
  <c r="H148" i="21"/>
  <c r="H203" i="21" s="1"/>
  <c r="I247" i="20"/>
  <c r="I247" i="19"/>
  <c r="E15" i="8"/>
  <c r="E17" i="8"/>
  <c r="F19" i="8" s="1"/>
  <c r="D97" i="4"/>
  <c r="C97" i="4" s="1"/>
  <c r="G101" i="4"/>
  <c r="C64" i="2"/>
  <c r="D81" i="4"/>
  <c r="C81" i="4" s="1"/>
  <c r="K28" i="4"/>
  <c r="J42" i="4"/>
  <c r="I4" i="4"/>
  <c r="I65" i="4"/>
  <c r="H101" i="4"/>
  <c r="H252" i="21" l="1"/>
  <c r="H251" i="21"/>
  <c r="H244" i="21"/>
  <c r="H247" i="21"/>
  <c r="H246" i="21"/>
  <c r="H253" i="21"/>
  <c r="H250" i="21"/>
  <c r="K250" i="21" s="1"/>
  <c r="H254" i="21"/>
  <c r="K254" i="21" s="1"/>
  <c r="H242" i="21"/>
  <c r="H243" i="21"/>
  <c r="K243" i="21" s="1"/>
  <c r="H255" i="21"/>
  <c r="H248" i="21"/>
  <c r="H211" i="21"/>
  <c r="H249" i="21"/>
  <c r="H245" i="21"/>
  <c r="I251" i="21"/>
  <c r="I252" i="21"/>
  <c r="K252" i="21" s="1"/>
  <c r="I246" i="21"/>
  <c r="K246" i="21" s="1"/>
  <c r="I244" i="21"/>
  <c r="K244" i="21" s="1"/>
  <c r="I250" i="21"/>
  <c r="I247" i="21"/>
  <c r="K247" i="21" s="1"/>
  <c r="I253" i="21"/>
  <c r="I254" i="21"/>
  <c r="I242" i="21"/>
  <c r="I257" i="21" s="1"/>
  <c r="I243" i="21"/>
  <c r="I255" i="21"/>
  <c r="K255" i="21" s="1"/>
  <c r="I211" i="21"/>
  <c r="I245" i="21"/>
  <c r="I248" i="21"/>
  <c r="I249" i="21"/>
  <c r="E19" i="8"/>
  <c r="K25" i="4"/>
  <c r="K42" i="4" s="1"/>
  <c r="J41" i="4"/>
  <c r="I66" i="21"/>
  <c r="O212" i="21"/>
  <c r="I225" i="21"/>
  <c r="I232" i="21" s="1"/>
  <c r="H66" i="21"/>
  <c r="H225" i="21"/>
  <c r="H232" i="21" s="1"/>
  <c r="N212" i="21"/>
  <c r="I251" i="19"/>
  <c r="I249" i="19"/>
  <c r="I225" i="19"/>
  <c r="I232" i="19" s="1"/>
  <c r="I243" i="19"/>
  <c r="I244" i="19"/>
  <c r="I254" i="19"/>
  <c r="I248" i="19"/>
  <c r="I66" i="19"/>
  <c r="I245" i="19"/>
  <c r="I246" i="19"/>
  <c r="I250" i="19"/>
  <c r="I255" i="19"/>
  <c r="I242" i="19"/>
  <c r="I252" i="19"/>
  <c r="I253" i="19"/>
  <c r="I66" i="20"/>
  <c r="I252" i="20"/>
  <c r="I242" i="20"/>
  <c r="I245" i="20"/>
  <c r="I255" i="20"/>
  <c r="I254" i="20"/>
  <c r="I251" i="20"/>
  <c r="I243" i="20"/>
  <c r="I244" i="20"/>
  <c r="I250" i="20"/>
  <c r="I225" i="20"/>
  <c r="I232" i="20" s="1"/>
  <c r="I253" i="20"/>
  <c r="I248" i="20"/>
  <c r="I246" i="20"/>
  <c r="I249" i="20"/>
  <c r="L28" i="4"/>
  <c r="J4" i="4"/>
  <c r="J65" i="4"/>
  <c r="I101" i="4"/>
  <c r="K249" i="21" l="1"/>
  <c r="K253" i="21"/>
  <c r="K245" i="21"/>
  <c r="K248" i="21"/>
  <c r="K251" i="21"/>
  <c r="H257" i="21"/>
  <c r="K242" i="21"/>
  <c r="K257" i="21" s="1"/>
  <c r="L25" i="4"/>
  <c r="L42" i="4" s="1"/>
  <c r="K41" i="4"/>
  <c r="I237" i="21"/>
  <c r="I212" i="21"/>
  <c r="H237" i="21"/>
  <c r="H238" i="21" s="1"/>
  <c r="H212" i="21"/>
  <c r="I223" i="21"/>
  <c r="H223" i="21"/>
  <c r="I257" i="20"/>
  <c r="I212" i="20"/>
  <c r="I237" i="20"/>
  <c r="I238" i="20" s="1"/>
  <c r="I239" i="20" s="1"/>
  <c r="I257" i="19"/>
  <c r="I212" i="19"/>
  <c r="I237" i="19"/>
  <c r="I238" i="19" s="1"/>
  <c r="I239" i="19" s="1"/>
  <c r="M28" i="4"/>
  <c r="K4" i="4"/>
  <c r="J16" i="4"/>
  <c r="K65" i="4"/>
  <c r="J101" i="4"/>
  <c r="M25" i="4" l="1"/>
  <c r="M42" i="4" s="1"/>
  <c r="L41" i="4"/>
  <c r="H239" i="21"/>
  <c r="I235" i="21"/>
  <c r="I238" i="21" s="1"/>
  <c r="I239" i="21" s="1"/>
  <c r="N28" i="4"/>
  <c r="J102" i="4"/>
  <c r="L4" i="4"/>
  <c r="K16" i="4"/>
  <c r="L65" i="4"/>
  <c r="K101" i="4"/>
  <c r="N25" i="4" l="1"/>
  <c r="N42" i="4" s="1"/>
  <c r="M41" i="4"/>
  <c r="O28" i="4"/>
  <c r="K102" i="4"/>
  <c r="L16" i="4"/>
  <c r="M4" i="4"/>
  <c r="M65" i="4"/>
  <c r="L101" i="4"/>
  <c r="O25" i="4" l="1"/>
  <c r="O42" i="4" s="1"/>
  <c r="N41" i="4"/>
  <c r="P28" i="4"/>
  <c r="L102" i="4"/>
  <c r="N4" i="4"/>
  <c r="N65" i="4"/>
  <c r="M101" i="4"/>
  <c r="P25" i="4" l="1"/>
  <c r="P42" i="4" s="1"/>
  <c r="D42" i="4" s="1"/>
  <c r="C42" i="4" s="1"/>
  <c r="O41" i="4"/>
  <c r="D28" i="4"/>
  <c r="C28" i="4" s="1"/>
  <c r="O4" i="4"/>
  <c r="O65" i="4"/>
  <c r="N101" i="4"/>
  <c r="P41" i="4" l="1"/>
  <c r="D41" i="4" s="1"/>
  <c r="C41" i="4" s="1"/>
  <c r="D25" i="4"/>
  <c r="C25" i="4" s="1"/>
  <c r="O16" i="4"/>
  <c r="P4" i="4"/>
  <c r="P65" i="4"/>
  <c r="O101" i="4"/>
  <c r="O102" i="4" l="1"/>
  <c r="P16" i="4"/>
  <c r="D4" i="4"/>
  <c r="C4" i="4" s="1"/>
  <c r="P101" i="4"/>
  <c r="D65" i="4"/>
  <c r="P102" i="4" l="1"/>
  <c r="C65" i="4"/>
  <c r="C101" i="4" s="1"/>
  <c r="D101" i="4"/>
  <c r="G16" i="4" l="1"/>
  <c r="G102" i="4" l="1"/>
  <c r="G103" i="4" s="1"/>
  <c r="N16" i="4"/>
  <c r="N102" i="4" s="1"/>
  <c r="M16" i="4"/>
  <c r="M102" i="4" s="1"/>
  <c r="I16" i="4"/>
  <c r="I102" i="4" s="1"/>
  <c r="H16" i="4"/>
  <c r="D5" i="4"/>
  <c r="C5" i="4" s="1"/>
  <c r="C16" i="4" s="1"/>
  <c r="D16" i="4" l="1"/>
  <c r="H102" i="4"/>
  <c r="H103" i="4" s="1"/>
  <c r="I103" i="4" s="1"/>
  <c r="J103" i="4" s="1"/>
  <c r="K103" i="4" s="1"/>
  <c r="L103" i="4" s="1"/>
  <c r="M103" i="4" s="1"/>
  <c r="N103" i="4" s="1"/>
  <c r="O103" i="4" s="1"/>
  <c r="P103" i="4" s="1"/>
  <c r="P106" i="4" s="1"/>
  <c r="P10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Matt Padron</author>
  </authors>
  <commentList>
    <comment ref="C138" authorId="0" shapeId="0" xr:uid="{00000000-0006-0000-0100-000001000000}">
      <text>
        <r>
          <rPr>
            <b/>
            <sz val="9"/>
            <color rgb="FF000000"/>
            <rFont val="Tahoma"/>
            <family val="2"/>
          </rPr>
          <t>Matt Padron: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Most Year 1 costs absorbed in initial FFE Lease</t>
        </r>
      </text>
    </comment>
    <comment ref="C208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Matt Padron:</t>
        </r>
        <r>
          <rPr>
            <sz val="9"/>
            <color indexed="81"/>
            <rFont val="Tahoma"/>
            <family val="2"/>
          </rPr>
          <t xml:space="preserve">
$383,000 in pre-op budget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Michael Dang</author>
  </authors>
  <commentList>
    <comment ref="C12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Michael Dang:</t>
        </r>
        <r>
          <rPr>
            <sz val="9"/>
            <color indexed="81"/>
            <rFont val="Tahoma"/>
            <family val="2"/>
          </rPr>
          <t xml:space="preserve">
Insert fall year of start of projections, such as 2019 for school year 2019-2020.</t>
        </r>
      </text>
    </comment>
  </commentList>
</comments>
</file>

<file path=xl/sharedStrings.xml><?xml version="1.0" encoding="utf-8"?>
<sst xmlns="http://schemas.openxmlformats.org/spreadsheetml/2006/main" count="2496" uniqueCount="467">
  <si>
    <t>WFTE Gross Value</t>
  </si>
  <si>
    <t>Total Students (FTEs)</t>
  </si>
  <si>
    <t>Kinder</t>
  </si>
  <si>
    <t>1st Grade</t>
  </si>
  <si>
    <t>2nd Grade</t>
  </si>
  <si>
    <t>3rd Grade</t>
  </si>
  <si>
    <t>4th Grade</t>
  </si>
  <si>
    <t>5th Grade</t>
  </si>
  <si>
    <t>6th Grade</t>
  </si>
  <si>
    <t>7th Grade</t>
  </si>
  <si>
    <t>8th Grade</t>
  </si>
  <si>
    <t>9th Grade</t>
  </si>
  <si>
    <t>10th Grade</t>
  </si>
  <si>
    <t>11th Grade</t>
  </si>
  <si>
    <t>12th Grade</t>
  </si>
  <si>
    <t>Prior Year Numbers</t>
  </si>
  <si>
    <t>SPED</t>
  </si>
  <si>
    <t>FRL %</t>
  </si>
  <si>
    <t>TEACHING STAFF</t>
  </si>
  <si>
    <t>Classroom Teachers</t>
  </si>
  <si>
    <t>SPED Teachers</t>
  </si>
  <si>
    <t>Art Teacher</t>
  </si>
  <si>
    <t>Music</t>
  </si>
  <si>
    <t>PE Teacher</t>
  </si>
  <si>
    <t>Technology (STEM)</t>
  </si>
  <si>
    <t>Spanish / Language</t>
  </si>
  <si>
    <t>Additional Elective Teachers</t>
  </si>
  <si>
    <t xml:space="preserve">     Total Teaching Staff</t>
  </si>
  <si>
    <t>ADMIN &amp; SUPPORT</t>
  </si>
  <si>
    <t xml:space="preserve">Executive Director </t>
  </si>
  <si>
    <t>Principal</t>
  </si>
  <si>
    <t>Assistant Principal</t>
  </si>
  <si>
    <t>Office Manager</t>
  </si>
  <si>
    <t>Registrar</t>
  </si>
  <si>
    <t>Clinic Aide/ FASA</t>
  </si>
  <si>
    <t>Receptionist</t>
  </si>
  <si>
    <t>Campus Monitor/Custodian</t>
  </si>
  <si>
    <t>SPED Facilitator</t>
  </si>
  <si>
    <t>Speech Pathologist</t>
  </si>
  <si>
    <t>School Psychologist</t>
  </si>
  <si>
    <t>School Nurse</t>
  </si>
  <si>
    <t xml:space="preserve">     Total Admin &amp; Support</t>
  </si>
  <si>
    <t>Total # Teachers</t>
  </si>
  <si>
    <t>Total # Admin &amp; Support</t>
  </si>
  <si>
    <t>Total Staff</t>
  </si>
  <si>
    <t>Total Salaries &amp; Benefits as % of Expenses</t>
  </si>
  <si>
    <t>Instruction Salaries as % of Total Salaries</t>
  </si>
  <si>
    <t>Admin &amp; Support Salaries as % of Total Salaries</t>
  </si>
  <si>
    <t>Rent as % of Revenue</t>
  </si>
  <si>
    <t>NSLP</t>
  </si>
  <si>
    <t>GATE</t>
  </si>
  <si>
    <t>SPED Discretionary Unit</t>
  </si>
  <si>
    <t xml:space="preserve">Total Revenues </t>
  </si>
  <si>
    <t>Actual Revenue</t>
  </si>
  <si>
    <t>Total Actual Revenues:</t>
  </si>
  <si>
    <t>EXPENSES</t>
  </si>
  <si>
    <t>Personnel Costs</t>
  </si>
  <si>
    <t>Assistant Principal(s)</t>
  </si>
  <si>
    <t>101 /103</t>
  </si>
  <si>
    <t xml:space="preserve">Teachers Salaries </t>
  </si>
  <si>
    <t>Office Manager/ Registrar / Banker</t>
  </si>
  <si>
    <t>Secretary &amp; FASA</t>
  </si>
  <si>
    <t>Teacher Assistants (including SPED)</t>
  </si>
  <si>
    <t>Campus Monitors</t>
  </si>
  <si>
    <t>Cafeteria Manager</t>
  </si>
  <si>
    <t xml:space="preserve">Unrestricted Salaries </t>
  </si>
  <si>
    <t>Restricted Salaries</t>
  </si>
  <si>
    <t>Lead Principal Staff</t>
  </si>
  <si>
    <t xml:space="preserve">OT </t>
  </si>
  <si>
    <t>Cafeteria Manager - NSLP</t>
  </si>
  <si>
    <t>On Campus Sub</t>
  </si>
  <si>
    <t>Total Salaries and Wages</t>
  </si>
  <si>
    <t>PERS - 29.25%</t>
  </si>
  <si>
    <t xml:space="preserve">Insurances/Employment Taxes/Other Benefits </t>
  </si>
  <si>
    <t>Incentives / Bonuses</t>
  </si>
  <si>
    <t>Stipend</t>
  </si>
  <si>
    <t>Tuition Reimbursements</t>
  </si>
  <si>
    <t>Subst. Teachers (10 days/Teacher)</t>
  </si>
  <si>
    <t>Total Payroll / Benefits and Related</t>
  </si>
  <si>
    <t>Supplies</t>
  </si>
  <si>
    <t xml:space="preserve">Consumables </t>
  </si>
  <si>
    <t>Duel Enrollment - Student Fees/Texbooks</t>
  </si>
  <si>
    <t>Zion's FFE Lease - payments</t>
  </si>
  <si>
    <t>Office Supplies</t>
  </si>
  <si>
    <t>Classroom Supplies</t>
  </si>
  <si>
    <t>Copier Supplies</t>
  </si>
  <si>
    <t>Nursing Supplies</t>
  </si>
  <si>
    <t>SPED Supplies</t>
  </si>
  <si>
    <t>Athletics/Extra</t>
  </si>
  <si>
    <t xml:space="preserve">Total Supplies </t>
  </si>
  <si>
    <t>Purchased Services</t>
  </si>
  <si>
    <t>Data Analysts</t>
  </si>
  <si>
    <t>Special Education Contracted Services</t>
  </si>
  <si>
    <t>Payroll Services</t>
  </si>
  <si>
    <t>Audit/Tax</t>
  </si>
  <si>
    <t>Legal Fees</t>
  </si>
  <si>
    <t xml:space="preserve">IT Services </t>
  </si>
  <si>
    <t>IT Set-up Fees</t>
  </si>
  <si>
    <t xml:space="preserve">State Administrative Fee </t>
  </si>
  <si>
    <t>Affiliation Fee - Inc. (1/2 of 1%)</t>
  </si>
  <si>
    <t>Affiliation Fee - Professional Development (1/2 of 1%)</t>
  </si>
  <si>
    <t>Total Purchased Services</t>
  </si>
  <si>
    <t>Other Operations</t>
  </si>
  <si>
    <t>Telephone</t>
  </si>
  <si>
    <t>Internet</t>
  </si>
  <si>
    <t>Cell Phones</t>
  </si>
  <si>
    <t>Postage</t>
  </si>
  <si>
    <t>Website</t>
  </si>
  <si>
    <t>Copier / Printing</t>
  </si>
  <si>
    <t>Infinite Campus</t>
  </si>
  <si>
    <t>Total Other Operations</t>
  </si>
  <si>
    <t>Insurances</t>
  </si>
  <si>
    <t>Property Insurnance</t>
  </si>
  <si>
    <t>Liability Insurance</t>
  </si>
  <si>
    <t>Other Insurances</t>
  </si>
  <si>
    <t>Total Insurances</t>
  </si>
  <si>
    <t>Other</t>
  </si>
  <si>
    <t>Lunch Program-NSLP</t>
  </si>
  <si>
    <t>Advertising/Marketing</t>
  </si>
  <si>
    <t xml:space="preserve">Travel </t>
  </si>
  <si>
    <t>Background and Fingerprinting</t>
  </si>
  <si>
    <t>Dues and Fees</t>
  </si>
  <si>
    <t>Prior Year Surplus allocated by board</t>
  </si>
  <si>
    <t>Transportation</t>
  </si>
  <si>
    <t>Loan Repayments</t>
  </si>
  <si>
    <t>Other Purchases</t>
  </si>
  <si>
    <t>Total Other</t>
  </si>
  <si>
    <t>Facilities</t>
  </si>
  <si>
    <t>Public Utilities</t>
  </si>
  <si>
    <t>Natural Gas</t>
  </si>
  <si>
    <t>Water / Sewer</t>
  </si>
  <si>
    <t>Garbage/Disposal</t>
  </si>
  <si>
    <t>Fire and Security alarms</t>
  </si>
  <si>
    <t>Contracted Janitorial Services</t>
  </si>
  <si>
    <t>Custodial Supplies</t>
  </si>
  <si>
    <t>430/431</t>
  </si>
  <si>
    <t>Facility Maintenance/Repairs/Capital Outlay</t>
  </si>
  <si>
    <t>Snow removal</t>
  </si>
  <si>
    <t>Lawn Care</t>
  </si>
  <si>
    <t>AC Maintenance &amp; Repair</t>
  </si>
  <si>
    <t>Total Facilitiy</t>
  </si>
  <si>
    <t>Total Expenses Before Bldg</t>
  </si>
  <si>
    <t>Scheduled Lease Payment</t>
  </si>
  <si>
    <t>Scheduled Bond Payment</t>
  </si>
  <si>
    <t>Additional Parking</t>
  </si>
  <si>
    <t>Surplus (Revenues-Total Expenses-Lease-Bond)</t>
  </si>
  <si>
    <t>Depreciation</t>
  </si>
  <si>
    <t>Amortization</t>
  </si>
  <si>
    <t>21-22</t>
  </si>
  <si>
    <t>22-23</t>
  </si>
  <si>
    <t>23-24</t>
  </si>
  <si>
    <t>24-25</t>
  </si>
  <si>
    <t>2025-2026</t>
  </si>
  <si>
    <t>2024-2025</t>
  </si>
  <si>
    <t>2023-2024</t>
  </si>
  <si>
    <t>2022-2023</t>
  </si>
  <si>
    <t>2021-2022</t>
  </si>
  <si>
    <t>School Year</t>
  </si>
  <si>
    <t>Total</t>
  </si>
  <si>
    <t>Year 5</t>
  </si>
  <si>
    <t>Year 4</t>
  </si>
  <si>
    <t>Year 3</t>
  </si>
  <si>
    <t>Year 2</t>
  </si>
  <si>
    <t>Year 1</t>
  </si>
  <si>
    <t>Year</t>
  </si>
  <si>
    <t xml:space="preserve">Anticipated Borrowed Amount: </t>
  </si>
  <si>
    <t xml:space="preserve">Planned Enrollment: </t>
  </si>
  <si>
    <t>***Differences in salaries and beneifts are due to teachers being paid over the summer.</t>
  </si>
  <si>
    <t>Cumulative (negative)</t>
  </si>
  <si>
    <t>Rent Reimbursment by Pre-K</t>
  </si>
  <si>
    <t>Water Sewer</t>
  </si>
  <si>
    <t>Athletics</t>
  </si>
  <si>
    <t>Steipen</t>
  </si>
  <si>
    <t>NSLP Manager</t>
  </si>
  <si>
    <t>Grant Manager</t>
  </si>
  <si>
    <t>June</t>
  </si>
  <si>
    <t>May</t>
  </si>
  <si>
    <t>April</t>
  </si>
  <si>
    <t>March</t>
  </si>
  <si>
    <t>February</t>
  </si>
  <si>
    <t>January</t>
  </si>
  <si>
    <t>December</t>
  </si>
  <si>
    <t>November</t>
  </si>
  <si>
    <t>October</t>
  </si>
  <si>
    <t>September</t>
  </si>
  <si>
    <t>August</t>
  </si>
  <si>
    <t>July</t>
  </si>
  <si>
    <t>Difference</t>
  </si>
  <si>
    <t>Budget</t>
  </si>
  <si>
    <t>Snow Removal</t>
  </si>
  <si>
    <t xml:space="preserve">Total Expenses </t>
  </si>
  <si>
    <t>25-26</t>
  </si>
  <si>
    <t>2026-2027</t>
  </si>
  <si>
    <t>NSLP/Cafeterial Manager</t>
  </si>
  <si>
    <t>26-27</t>
  </si>
  <si>
    <t>Adjusted Net Income Available Before Lease and Debt Service</t>
  </si>
  <si>
    <t>Total Lease Payments &amp; Net Debt Service</t>
  </si>
  <si>
    <t xml:space="preserve">Annual Debt Service Coverage </t>
  </si>
  <si>
    <t>Days Cash on Hand Calculation</t>
  </si>
  <si>
    <t xml:space="preserve">Projected Beginning Cash Balance </t>
  </si>
  <si>
    <t>Accounts Receivable</t>
  </si>
  <si>
    <t>Plus:  Operating Surplus</t>
  </si>
  <si>
    <t>Ending Cash Balance</t>
  </si>
  <si>
    <t>Projected Days Cash on Hand</t>
  </si>
  <si>
    <t>REVENUE (@ 95%)</t>
  </si>
  <si>
    <t>Rent as % of Total Project Cost</t>
  </si>
  <si>
    <t>Rent per Student</t>
  </si>
  <si>
    <t>Total Cost per Seat</t>
  </si>
  <si>
    <t>Total Lease Payments as % of Revenues</t>
  </si>
  <si>
    <t>Total Lease Payment</t>
  </si>
  <si>
    <t>Lease Payment Phase IV</t>
  </si>
  <si>
    <t>Lease Payment Phase III</t>
  </si>
  <si>
    <t>Facility Lease Payment</t>
  </si>
  <si>
    <t>Portable Building Lease Payment</t>
  </si>
  <si>
    <t xml:space="preserve">Total Revenues @ 95% </t>
  </si>
  <si>
    <t># of Students</t>
  </si>
  <si>
    <t>Year 6</t>
  </si>
  <si>
    <t xml:space="preserve">Estimated School Income </t>
  </si>
  <si>
    <t>Scheduled Lease Payment (Portable Bldg)</t>
  </si>
  <si>
    <t xml:space="preserve">Estimated PPR </t>
  </si>
  <si>
    <t>Monthly Cash Flow (negative)</t>
  </si>
  <si>
    <t>17-18</t>
  </si>
  <si>
    <t>18-19</t>
  </si>
  <si>
    <t>19-20</t>
  </si>
  <si>
    <t>Management Fee (Academica Nevada)</t>
  </si>
  <si>
    <t>Management Fee (WSA)</t>
  </si>
  <si>
    <t>Attachment 21</t>
  </si>
  <si>
    <t>DSA</t>
  </si>
  <si>
    <t>DSA Sponsor Fee</t>
  </si>
  <si>
    <t xml:space="preserve">Total Revenue: </t>
  </si>
  <si>
    <t>Salaries</t>
  </si>
  <si>
    <t>Benefits</t>
  </si>
  <si>
    <t>Payroll Expense</t>
  </si>
  <si>
    <t>Instructional Supplies</t>
  </si>
  <si>
    <t>Contracts</t>
  </si>
  <si>
    <t>Food Costs</t>
  </si>
  <si>
    <t>Marketing</t>
  </si>
  <si>
    <t>Lease/Mortgage</t>
  </si>
  <si>
    <t>Custodial</t>
  </si>
  <si>
    <t>Utilities</t>
  </si>
  <si>
    <t>CAM/Maintenance</t>
  </si>
  <si>
    <t>Campus Security</t>
  </si>
  <si>
    <t>FFE&amp;T</t>
  </si>
  <si>
    <t>Insurance</t>
  </si>
  <si>
    <t>K</t>
  </si>
  <si>
    <t>Pre-K</t>
  </si>
  <si>
    <t>Number of Students</t>
  </si>
  <si>
    <t>Grade Level</t>
  </si>
  <si>
    <t>amendment)</t>
  </si>
  <si>
    <t>planned enrollment described in subsection b will necessitate a charter</t>
  </si>
  <si>
    <t>(c)	Maximum Enrollment (Note: Enrolling more than 10 percent of the</t>
  </si>
  <si>
    <t>(b)  Planned Enrollment (Must Correspond to Budget Worksheet Assumptions)</t>
  </si>
  <si>
    <t>Assumptions discussed in budget narrative)</t>
  </si>
  <si>
    <t>(a)  Minimum Enrollment (Must Correspond to Break Even Budget Scenario</t>
  </si>
  <si>
    <t>STUDENT RECRUITMENT AND ENROLLMENT</t>
  </si>
  <si>
    <t>OPERATIONS PLAN</t>
  </si>
  <si>
    <t>Mike Dang</t>
  </si>
  <si>
    <t>Nevada State Public Charter School Authority</t>
  </si>
  <si>
    <t>Enrollment Tables</t>
  </si>
  <si>
    <t>Total Network FTEs</t>
  </si>
  <si>
    <t>Total FTEs at High Schools</t>
  </si>
  <si>
    <t>School Operations Support Staff</t>
  </si>
  <si>
    <t>Teacher Aides and Assistants</t>
  </si>
  <si>
    <t>Receptionist / Clinic Aide FASA</t>
  </si>
  <si>
    <t>Special Education Teachers</t>
  </si>
  <si>
    <t>Classroom Teachers (Specials)</t>
  </si>
  <si>
    <t>Classroom Teachers (Core Subjects)</t>
  </si>
  <si>
    <t>SPED Facilitator / Speech Psychologist</t>
  </si>
  <si>
    <t>Assistant Principals</t>
  </si>
  <si>
    <t>Principals</t>
  </si>
  <si>
    <t>High School Staff</t>
  </si>
  <si>
    <t>Total FTEs at Middle Schools</t>
  </si>
  <si>
    <t>Middle School Staff</t>
  </si>
  <si>
    <t>Total FTEs at Elementary Schools</t>
  </si>
  <si>
    <t>Elementary School Staff</t>
  </si>
  <si>
    <t>Total Back-Office FTEs</t>
  </si>
  <si>
    <t>Management Organization Positions</t>
  </si>
  <si>
    <t xml:space="preserve">Total Student enrollment </t>
  </si>
  <si>
    <t>Total schools</t>
  </si>
  <si>
    <t>Number of high schools</t>
  </si>
  <si>
    <t>Number of middle schools</t>
  </si>
  <si>
    <t>Number of elementary schools</t>
  </si>
  <si>
    <t>2025-26</t>
  </si>
  <si>
    <t>2024-25</t>
  </si>
  <si>
    <t>2023-24</t>
  </si>
  <si>
    <t>2022-23</t>
  </si>
  <si>
    <t>Network</t>
  </si>
  <si>
    <t>Total FTEs at School</t>
  </si>
  <si>
    <t>School Staff</t>
  </si>
  <si>
    <t>Proposed New Campus(es)</t>
  </si>
  <si>
    <t>Projections for school years beginning</t>
  </si>
  <si>
    <t>School Years</t>
  </si>
  <si>
    <t>Staffing Tables of Projected Staffing Needs</t>
  </si>
  <si>
    <t xml:space="preserve">Curriculum/Instructional Coach </t>
  </si>
  <si>
    <t>Chief Operating Officer (Academica Nevada)</t>
  </si>
  <si>
    <t>Chief Financial Officer  (Academica Nevada)</t>
  </si>
  <si>
    <t>Chief Legal Officer (Academica Nevada)</t>
  </si>
  <si>
    <t>Bookkeepers  (Academica Nevada)</t>
  </si>
  <si>
    <t>Procurement Director (Academica Nevada)</t>
  </si>
  <si>
    <t>Facility Manager (Academica Nevada)</t>
  </si>
  <si>
    <t>Paralegal, Director of Growth &amp; Management  (Academica Nevada)</t>
  </si>
  <si>
    <t>HR, Event Coordinator, Other (Academica Nevada)</t>
  </si>
  <si>
    <t>State</t>
  </si>
  <si>
    <t>Local</t>
  </si>
  <si>
    <t>Change</t>
  </si>
  <si>
    <t>Clark County - Per-Pupil Funding History</t>
  </si>
  <si>
    <t>% change(+/-)</t>
  </si>
  <si>
    <t>Historical</t>
  </si>
  <si>
    <t>Personnel</t>
  </si>
  <si>
    <t>Contractual</t>
  </si>
  <si>
    <t>Contracted Services</t>
  </si>
  <si>
    <t>Equipment</t>
  </si>
  <si>
    <t>Facility</t>
  </si>
  <si>
    <t>Travel</t>
  </si>
  <si>
    <t>Accounting, Audit, &amp; Legal Fees</t>
  </si>
  <si>
    <t>Technology</t>
  </si>
  <si>
    <t>Position</t>
  </si>
  <si>
    <t>Classroom Teachers (Core)</t>
  </si>
  <si>
    <t>Classroom Teachers (Special)</t>
  </si>
  <si>
    <t>Clinic Aide/FASA</t>
  </si>
  <si>
    <t xml:space="preserve">Total Staff: </t>
  </si>
  <si>
    <t xml:space="preserve">Total Staff Costs: </t>
  </si>
  <si>
    <t>Benefits % of Salary</t>
  </si>
  <si>
    <t xml:space="preserve">Total Benefits Costs: </t>
  </si>
  <si>
    <t>Total Salaries &amp; Wages</t>
  </si>
  <si>
    <t>Public Utilities (Electricity)</t>
  </si>
  <si>
    <t>On Campus Subs</t>
  </si>
  <si>
    <t>21-22(Pre-Op)</t>
  </si>
  <si>
    <t>27-28</t>
  </si>
  <si>
    <t>Statewide Base (w/ District Adj)</t>
  </si>
  <si>
    <t>SPED Funding (Part B)</t>
  </si>
  <si>
    <t>National School Lunch Program (NSLP)</t>
  </si>
  <si>
    <t>Gifted and Talented Education (GATE) Weight</t>
  </si>
  <si>
    <t>ELL Weight</t>
  </si>
  <si>
    <t>At-Risk Weight</t>
  </si>
  <si>
    <r>
      <rPr>
        <b/>
        <sz val="11"/>
        <rFont val="Calibri"/>
        <family val="2"/>
        <scheme val="minor"/>
      </rPr>
      <t>OTHER:</t>
    </r>
    <r>
      <rPr>
        <sz val="11"/>
        <rFont val="Calibri"/>
        <family val="2"/>
        <scheme val="minor"/>
      </rPr>
      <t xml:space="preserve"> Pre-Operational Loan</t>
    </r>
  </si>
  <si>
    <t>SPED Count</t>
  </si>
  <si>
    <t>GATE Count</t>
  </si>
  <si>
    <t>At-Risk (FRL) Count</t>
  </si>
  <si>
    <t>State Base Budget Revenue</t>
  </si>
  <si>
    <t>PERS - 29.75%</t>
  </si>
  <si>
    <t xml:space="preserve">Affiliation Fee - Inc. </t>
  </si>
  <si>
    <t>ELL weight (0.23)</t>
  </si>
  <si>
    <t>GATE weight (0.12)</t>
  </si>
  <si>
    <t>At-Risk weight (0.03)</t>
  </si>
  <si>
    <t>45,000 sqft</t>
  </si>
  <si>
    <t>access to</t>
  </si>
  <si>
    <t xml:space="preserve">Contracted Services: </t>
  </si>
  <si>
    <t xml:space="preserve">Young Women's Leadership Academy </t>
  </si>
  <si>
    <t>sent 5/10/2021</t>
  </si>
  <si>
    <t>Young Women's Leadership Academy</t>
  </si>
  <si>
    <t>Churchill</t>
  </si>
  <si>
    <t>Clark</t>
  </si>
  <si>
    <t xml:space="preserve">Douglas </t>
  </si>
  <si>
    <t>Elko</t>
  </si>
  <si>
    <t>Esmeralda</t>
  </si>
  <si>
    <t xml:space="preserve">Eureka </t>
  </si>
  <si>
    <t xml:space="preserve">Humboldt </t>
  </si>
  <si>
    <t>Lander</t>
  </si>
  <si>
    <t xml:space="preserve">Lincoln </t>
  </si>
  <si>
    <t xml:space="preserve">Lyon </t>
  </si>
  <si>
    <t xml:space="preserve">Mineral </t>
  </si>
  <si>
    <t xml:space="preserve">Nye </t>
  </si>
  <si>
    <t>New Funding Model established 2021</t>
  </si>
  <si>
    <t xml:space="preserve">Pershing </t>
  </si>
  <si>
    <t xml:space="preserve">Storey </t>
  </si>
  <si>
    <t>Washoe</t>
  </si>
  <si>
    <t>White Pine</t>
  </si>
  <si>
    <t xml:space="preserve">Carson City </t>
  </si>
  <si>
    <t>Statewide Base</t>
  </si>
  <si>
    <t>For English Learners (ELL)</t>
  </si>
  <si>
    <t>For at-risk pupils (FRL)</t>
  </si>
  <si>
    <t>For gifted and talented pupils (GATE)</t>
  </si>
  <si>
    <t>Old Funding Model as of 2021</t>
  </si>
  <si>
    <t>FRL Weight</t>
  </si>
  <si>
    <t>GATE Weight</t>
  </si>
  <si>
    <t>Weights</t>
  </si>
  <si>
    <t>Young Women's Leadership Academy - Personnel</t>
  </si>
  <si>
    <t>2027-2028</t>
  </si>
  <si>
    <t>REVENUE (@ 97%)</t>
  </si>
  <si>
    <t>YWLA</t>
  </si>
  <si>
    <t xml:space="preserve">Professional Development </t>
  </si>
  <si>
    <t>Increased hours from 6 to 8</t>
  </si>
  <si>
    <t>Improvements / Loan</t>
  </si>
  <si>
    <t>Title I</t>
  </si>
  <si>
    <t>Young Women's Leadership Academy - FY22</t>
  </si>
  <si>
    <t>Operating</t>
  </si>
  <si>
    <t>Title</t>
  </si>
  <si>
    <t>Young Women's Leadership Academy - FY23</t>
  </si>
  <si>
    <t>Young Women's Leadership Academy - FY24</t>
  </si>
  <si>
    <t>Title II</t>
  </si>
  <si>
    <t>Breakfast included</t>
  </si>
  <si>
    <t>NSLP - Lunch (Breakfast included)</t>
  </si>
  <si>
    <t>Title 1</t>
  </si>
  <si>
    <t>Title 2</t>
  </si>
  <si>
    <t>Was $65k</t>
  </si>
  <si>
    <t>Was $33,200</t>
  </si>
  <si>
    <t>Was $83k</t>
  </si>
  <si>
    <t>Was $70k</t>
  </si>
  <si>
    <t>Prior Year Numbers (Estimated Numbers for Year 1)</t>
  </si>
  <si>
    <t>Was $132,700</t>
  </si>
  <si>
    <t>was $164k</t>
  </si>
  <si>
    <t>Was $156,100</t>
  </si>
  <si>
    <t>was $120k</t>
  </si>
  <si>
    <t>Was $31,800</t>
  </si>
  <si>
    <r>
      <t xml:space="preserve">REVENUE  </t>
    </r>
    <r>
      <rPr>
        <b/>
        <sz val="11"/>
        <color rgb="FF0000FF"/>
        <rFont val="Calibri"/>
        <family val="2"/>
        <scheme val="minor"/>
      </rPr>
      <t>(@ 100%)</t>
    </r>
  </si>
  <si>
    <t>college bound initiative counselor</t>
  </si>
  <si>
    <t>procurement</t>
  </si>
  <si>
    <t>social worker/interventionist</t>
  </si>
  <si>
    <r>
      <t>OTHER:</t>
    </r>
    <r>
      <rPr>
        <sz val="11"/>
        <rFont val="Calibri"/>
        <family val="2"/>
        <scheme val="minor"/>
      </rPr>
      <t xml:space="preserve"> Donations</t>
    </r>
  </si>
  <si>
    <t>Property Insurance</t>
  </si>
  <si>
    <t>Total Facility</t>
  </si>
  <si>
    <t>School Counselor</t>
  </si>
  <si>
    <t>College Bound Initiative Counselor</t>
  </si>
  <si>
    <t>NSLP/Cafeteria Manager</t>
  </si>
  <si>
    <t>Instructional Coach</t>
  </si>
  <si>
    <t>EL Weight</t>
  </si>
  <si>
    <t>EL Coordinator</t>
  </si>
  <si>
    <t>EL Count</t>
  </si>
  <si>
    <t>sent 7/08/2021</t>
  </si>
  <si>
    <t>Enrollment Projections</t>
  </si>
  <si>
    <t>classrooms</t>
  </si>
  <si>
    <t>classroom</t>
  </si>
  <si>
    <t>Total Students ( FTEs)</t>
  </si>
  <si>
    <t xml:space="preserve">Total Students </t>
  </si>
  <si>
    <t xml:space="preserve">School Counselor </t>
  </si>
  <si>
    <t>Instructional Aide(s)</t>
  </si>
  <si>
    <t xml:space="preserve">Instructional Aide(s) </t>
  </si>
  <si>
    <r>
      <t xml:space="preserve">OTHER: </t>
    </r>
    <r>
      <rPr>
        <sz val="11"/>
        <rFont val="Calibri"/>
        <family val="2"/>
        <scheme val="minor"/>
      </rPr>
      <t>Tenant Improvements Donation</t>
    </r>
  </si>
  <si>
    <t xml:space="preserve">College Bound Initiative Counselor / School Counselor </t>
  </si>
  <si>
    <t>OTHER: Pre-Operational Loan</t>
  </si>
  <si>
    <t>OTHER: Donations</t>
  </si>
  <si>
    <t>OTHER: Tenant Improvements Donation</t>
  </si>
  <si>
    <t>2026-27</t>
  </si>
  <si>
    <t>2027-28</t>
  </si>
  <si>
    <t>Dual Enrollment - Student Fees/Textbooks</t>
  </si>
  <si>
    <t>Affiliation Fee - Professional Development</t>
  </si>
  <si>
    <t>Cash instead of Zion Lease - Curriculum/Tech/Furniture</t>
  </si>
  <si>
    <t>Total  Benefits and Related</t>
  </si>
  <si>
    <t>CSP</t>
  </si>
  <si>
    <r>
      <t>REVENUE</t>
    </r>
    <r>
      <rPr>
        <b/>
        <sz val="11"/>
        <color rgb="FF0033CC"/>
        <rFont val="Calibri"/>
        <family val="2"/>
        <scheme val="minor"/>
      </rPr>
      <t xml:space="preserve"> (@ 100%)</t>
    </r>
  </si>
  <si>
    <t>Gifted and Talented Education (GATE)</t>
  </si>
  <si>
    <t>Personnel Costs - Unrestricted Salaries</t>
  </si>
  <si>
    <t xml:space="preserve">Total Unrestricted Salaries </t>
  </si>
  <si>
    <t xml:space="preserve">Total Restricted Salaries </t>
  </si>
  <si>
    <t xml:space="preserve">Total Salaries and Wages </t>
  </si>
  <si>
    <t xml:space="preserve">Total Benefits and Related </t>
  </si>
  <si>
    <t xml:space="preserve">Total Purchased Services </t>
  </si>
  <si>
    <t>General Operations</t>
  </si>
  <si>
    <t xml:space="preserve">Total General Operations </t>
  </si>
  <si>
    <t xml:space="preserve">Total Insurances </t>
  </si>
  <si>
    <t xml:space="preserve">Total Other </t>
  </si>
  <si>
    <t xml:space="preserve">Total Facilities </t>
  </si>
  <si>
    <t xml:space="preserve">Total Expenses Before Bldg </t>
  </si>
  <si>
    <r>
      <t xml:space="preserve">OTHER: </t>
    </r>
    <r>
      <rPr>
        <sz val="11"/>
        <rFont val="Calibri"/>
        <family val="2"/>
        <scheme val="minor"/>
      </rPr>
      <t>Donation (Sands Corporation)</t>
    </r>
  </si>
  <si>
    <t>tenant improvements</t>
  </si>
  <si>
    <r>
      <rPr>
        <b/>
        <sz val="11"/>
        <rFont val="Calibri"/>
        <family val="2"/>
        <scheme val="minor"/>
      </rPr>
      <t>OTHER:</t>
    </r>
    <r>
      <rPr>
        <sz val="11"/>
        <rFont val="Calibri"/>
        <family val="2"/>
        <scheme val="minor"/>
      </rPr>
      <t xml:space="preserve"> Charter School Program (CSP) Grant</t>
    </r>
  </si>
  <si>
    <t>Campus Monitors/Plant Operator</t>
  </si>
  <si>
    <t>Campus Monitor/Custodian/Plant Operator</t>
  </si>
  <si>
    <r>
      <t xml:space="preserve">OTHER: </t>
    </r>
    <r>
      <rPr>
        <sz val="11"/>
        <rFont val="Calibri"/>
        <family val="2"/>
        <scheme val="minor"/>
      </rPr>
      <t xml:space="preserve">CSP Grant </t>
    </r>
  </si>
  <si>
    <r>
      <t xml:space="preserve">OTHER: </t>
    </r>
    <r>
      <rPr>
        <sz val="11"/>
        <rFont val="Calibri"/>
        <family val="2"/>
        <scheme val="minor"/>
      </rPr>
      <t>Donation (SANDS Corporation)</t>
    </r>
  </si>
  <si>
    <t>Zion's Lease payments - FFE / Tech / Curriculum</t>
  </si>
  <si>
    <t>Y1-Y2 $500 per student, $900 per student starting Y3 (building only holds 350)</t>
  </si>
  <si>
    <t>+</t>
  </si>
  <si>
    <t>Scheduled Lease Payment (B&amp;GC)</t>
  </si>
  <si>
    <t>church (-1 month)</t>
  </si>
  <si>
    <t>Boys &amp; girls club opening month (assumes 100 students - 1 month)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</si>
</sst>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6" formatCode="&quot;$&quot;#,##0_);[Red]\(&quot;$&quot;#,##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_(&quot;$&quot;* #,##0_);_(&quot;$&quot;* \(#,##0\);_(&quot;$&quot;* &quot;-&quot;??_);_(@_)"/>
    <numFmt numFmtId="168" formatCode="_(#,##0_);[Red]_(\(#,##0\);_(&quot;-&quot;_);_(@_)"/>
    <numFmt numFmtId="169" formatCode="_(#,##0.00_);[Red]_(\(#,##0.00\);_(&quot;-&quot;_);_(@_)"/>
    <numFmt numFmtId="170" formatCode="_(#,##0.0_);[Red]_(\(#,##0.0\);_(&quot;-&quot;_);_(@_)"/>
    <numFmt numFmtId="171" formatCode="0.000"/>
    <numFmt numFmtId="172" formatCode="0_);[Red]\(0\)"/>
    <numFmt numFmtId="173" formatCode="0.0"/>
    <numFmt numFmtId="174" formatCode="_(&quot;$&quot;#,##0_);[Red]_(&quot;$&quot;\(#,##0\);_(&quot;$&quot;\ &quot;-&quot;_);_(@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color rgb="FF0000FF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rgb="FF0000FF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1"/>
      <name val="Times New Roman"/>
      <family val="1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i/>
      <sz val="10"/>
      <color rgb="FFFF000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9"/>
      <color indexed="8"/>
      <name val="Times New Roman"/>
      <family val="1"/>
    </font>
    <font>
      <b/>
      <sz val="9"/>
      <color indexed="23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b/>
      <sz val="8"/>
      <name val="Times New Roman"/>
      <family val="1"/>
    </font>
    <font>
      <sz val="11"/>
      <name val="Calibri"/>
      <family val="2"/>
    </font>
    <font>
      <b/>
      <sz val="11"/>
      <name val="Arial"/>
      <family val="2"/>
    </font>
    <font>
      <b/>
      <sz val="10"/>
      <color rgb="FF0000FF"/>
      <name val="Arial"/>
      <family val="2"/>
    </font>
    <font>
      <i/>
      <sz val="9"/>
      <color indexed="8"/>
      <name val="Arial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i/>
      <sz val="11"/>
      <color theme="1"/>
      <name val="Cambria"/>
      <family val="1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6"/>
      <color theme="1"/>
      <name val="Times New Roman"/>
      <family val="1"/>
    </font>
    <font>
      <b/>
      <u/>
      <sz val="16"/>
      <color theme="1"/>
      <name val="Times New Roman"/>
      <family val="1"/>
    </font>
    <font>
      <sz val="12"/>
      <name val="Times New Roman"/>
      <family val="1"/>
    </font>
    <font>
      <b/>
      <sz val="11"/>
      <color rgb="FF0033CC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2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0F3FA"/>
        <bgColor indexed="64"/>
      </patternFill>
    </fill>
    <fill>
      <patternFill patternType="solid">
        <fgColor rgb="FFEFF8E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8"/>
      </patternFill>
    </fill>
    <fill>
      <patternFill patternType="solid">
        <fgColor rgb="FFBFBFB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7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/>
      <bottom style="hair">
        <color indexed="2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/>
      <diagonal/>
    </border>
    <border>
      <left style="hair">
        <color indexed="22"/>
      </left>
      <right style="hair">
        <color indexed="22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6" fillId="0" borderId="0"/>
    <xf numFmtId="9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573">
    <xf numFmtId="0" fontId="0" fillId="0" borderId="0" xfId="0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8" fillId="0" borderId="1" xfId="2" applyNumberFormat="1" applyFont="1" applyFill="1" applyBorder="1" applyAlignment="1">
      <alignment horizontal="right"/>
    </xf>
    <xf numFmtId="164" fontId="0" fillId="0" borderId="2" xfId="1" applyNumberFormat="1" applyFont="1" applyBorder="1"/>
    <xf numFmtId="0" fontId="2" fillId="0" borderId="0" xfId="0" applyFont="1"/>
    <xf numFmtId="0" fontId="8" fillId="0" borderId="3" xfId="2" applyNumberFormat="1" applyFont="1" applyFill="1" applyBorder="1" applyAlignment="1">
      <alignment horizontal="right"/>
    </xf>
    <xf numFmtId="164" fontId="3" fillId="0" borderId="2" xfId="1" applyNumberFormat="1" applyFont="1" applyBorder="1"/>
    <xf numFmtId="0" fontId="9" fillId="0" borderId="0" xfId="0" applyFont="1" applyAlignment="1">
      <alignment horizontal="left"/>
    </xf>
    <xf numFmtId="0" fontId="8" fillId="0" borderId="4" xfId="0" applyFont="1" applyFill="1" applyBorder="1" applyAlignment="1">
      <alignment horizontal="right"/>
    </xf>
    <xf numFmtId="164" fontId="8" fillId="0" borderId="2" xfId="1" applyNumberFormat="1" applyFont="1" applyFill="1" applyBorder="1"/>
    <xf numFmtId="164" fontId="0" fillId="0" borderId="0" xfId="0" applyNumberFormat="1"/>
    <xf numFmtId="0" fontId="8" fillId="0" borderId="4" xfId="2" applyNumberFormat="1" applyFont="1" applyFill="1" applyBorder="1" applyAlignment="1">
      <alignment horizontal="right"/>
    </xf>
    <xf numFmtId="0" fontId="0" fillId="0" borderId="4" xfId="0" applyFont="1" applyFill="1" applyBorder="1" applyAlignment="1">
      <alignment horizontal="right"/>
    </xf>
    <xf numFmtId="0" fontId="0" fillId="0" borderId="3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1" fillId="2" borderId="4" xfId="0" applyFont="1" applyFill="1" applyBorder="1"/>
    <xf numFmtId="164" fontId="0" fillId="2" borderId="2" xfId="1" applyNumberFormat="1" applyFont="1" applyFill="1" applyBorder="1"/>
    <xf numFmtId="43" fontId="10" fillId="0" borderId="0" xfId="0" applyNumberFormat="1" applyFont="1" applyAlignment="1">
      <alignment horizontal="left"/>
    </xf>
    <xf numFmtId="9" fontId="0" fillId="0" borderId="2" xfId="3" applyFont="1" applyBorder="1"/>
    <xf numFmtId="9" fontId="10" fillId="0" borderId="0" xfId="3" applyFont="1" applyAlignment="1">
      <alignment horizontal="left"/>
    </xf>
    <xf numFmtId="0" fontId="4" fillId="0" borderId="3" xfId="0" applyFont="1" applyFill="1" applyBorder="1" applyAlignment="1">
      <alignment horizontal="right"/>
    </xf>
    <xf numFmtId="0" fontId="8" fillId="0" borderId="3" xfId="0" applyFont="1" applyFill="1" applyBorder="1" applyProtection="1">
      <protection locked="0"/>
    </xf>
    <xf numFmtId="43" fontId="0" fillId="0" borderId="2" xfId="1" applyNumberFormat="1" applyFont="1" applyBorder="1"/>
    <xf numFmtId="0" fontId="7" fillId="0" borderId="0" xfId="0" applyFont="1" applyFill="1" applyAlignment="1">
      <alignment horizontal="center"/>
    </xf>
    <xf numFmtId="2" fontId="10" fillId="0" borderId="0" xfId="0" applyNumberFormat="1" applyFont="1" applyFill="1" applyAlignment="1">
      <alignment horizontal="left"/>
    </xf>
    <xf numFmtId="0" fontId="0" fillId="0" borderId="0" xfId="0" applyFill="1"/>
    <xf numFmtId="0" fontId="8" fillId="0" borderId="3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/>
    <xf numFmtId="43" fontId="5" fillId="3" borderId="2" xfId="1" applyNumberFormat="1" applyFont="1" applyFill="1" applyBorder="1"/>
    <xf numFmtId="0" fontId="11" fillId="0" borderId="3" xfId="0" applyFont="1" applyFill="1" applyBorder="1"/>
    <xf numFmtId="164" fontId="3" fillId="2" borderId="2" xfId="1" applyNumberFormat="1" applyFont="1" applyFill="1" applyBorder="1" applyAlignment="1">
      <alignment horizontal="center"/>
    </xf>
    <xf numFmtId="165" fontId="0" fillId="0" borderId="2" xfId="1" applyNumberFormat="1" applyFont="1" applyBorder="1"/>
    <xf numFmtId="0" fontId="8" fillId="0" borderId="3" xfId="0" applyFont="1" applyFill="1" applyBorder="1" applyAlignment="1" applyProtection="1">
      <alignment wrapText="1"/>
      <protection locked="0"/>
    </xf>
    <xf numFmtId="0" fontId="8" fillId="0" borderId="3" xfId="0" applyFont="1" applyFill="1" applyBorder="1"/>
    <xf numFmtId="43" fontId="9" fillId="0" borderId="0" xfId="0" applyNumberFormat="1" applyFont="1" applyAlignment="1">
      <alignment horizontal="left"/>
    </xf>
    <xf numFmtId="0" fontId="12" fillId="0" borderId="3" xfId="0" applyFont="1" applyFill="1" applyBorder="1" applyProtection="1">
      <protection locked="0"/>
    </xf>
    <xf numFmtId="165" fontId="5" fillId="3" borderId="2" xfId="1" applyNumberFormat="1" applyFont="1" applyFill="1" applyBorder="1"/>
    <xf numFmtId="0" fontId="11" fillId="4" borderId="3" xfId="0" applyFont="1" applyFill="1" applyBorder="1"/>
    <xf numFmtId="164" fontId="0" fillId="0" borderId="5" xfId="1" applyNumberFormat="1" applyFont="1" applyBorder="1"/>
    <xf numFmtId="0" fontId="5" fillId="4" borderId="4" xfId="0" applyFont="1" applyFill="1" applyBorder="1"/>
    <xf numFmtId="43" fontId="7" fillId="0" borderId="6" xfId="1" applyNumberFormat="1" applyFont="1" applyBorder="1"/>
    <xf numFmtId="0" fontId="5" fillId="4" borderId="7" xfId="0" applyFont="1" applyFill="1" applyBorder="1"/>
    <xf numFmtId="43" fontId="7" fillId="0" borderId="8" xfId="1" applyNumberFormat="1" applyFont="1" applyBorder="1"/>
    <xf numFmtId="0" fontId="5" fillId="4" borderId="9" xfId="0" applyFont="1" applyFill="1" applyBorder="1"/>
    <xf numFmtId="43" fontId="7" fillId="0" borderId="10" xfId="1" applyNumberFormat="1" applyFont="1" applyBorder="1"/>
    <xf numFmtId="164" fontId="0" fillId="0" borderId="11" xfId="1" applyNumberFormat="1" applyFont="1" applyBorder="1"/>
    <xf numFmtId="0" fontId="11" fillId="0" borderId="6" xfId="0" applyFont="1" applyFill="1" applyBorder="1"/>
    <xf numFmtId="166" fontId="7" fillId="0" borderId="6" xfId="3" applyNumberFormat="1" applyFont="1" applyBorder="1"/>
    <xf numFmtId="0" fontId="11" fillId="0" borderId="12" xfId="0" applyFont="1" applyFill="1" applyBorder="1"/>
    <xf numFmtId="166" fontId="7" fillId="0" borderId="8" xfId="3" applyNumberFormat="1" applyFont="1" applyBorder="1"/>
    <xf numFmtId="0" fontId="11" fillId="0" borderId="13" xfId="0" applyFont="1" applyFill="1" applyBorder="1"/>
    <xf numFmtId="0" fontId="11" fillId="0" borderId="14" xfId="0" applyFont="1" applyFill="1" applyBorder="1"/>
    <xf numFmtId="166" fontId="7" fillId="0" borderId="10" xfId="3" applyNumberFormat="1" applyFont="1" applyBorder="1"/>
    <xf numFmtId="0" fontId="7" fillId="0" borderId="0" xfId="0" applyFont="1" applyBorder="1" applyAlignment="1">
      <alignment horizontal="center"/>
    </xf>
    <xf numFmtId="0" fontId="13" fillId="0" borderId="0" xfId="0" applyFont="1" applyFill="1" applyBorder="1"/>
    <xf numFmtId="164" fontId="0" fillId="0" borderId="0" xfId="1" applyNumberFormat="1" applyFont="1" applyBorder="1"/>
    <xf numFmtId="0" fontId="9" fillId="0" borderId="0" xfId="0" applyFont="1" applyBorder="1" applyAlignment="1">
      <alignment horizontal="left"/>
    </xf>
    <xf numFmtId="0" fontId="0" fillId="0" borderId="0" xfId="0" applyBorder="1"/>
    <xf numFmtId="0" fontId="0" fillId="0" borderId="0" xfId="0" applyFont="1" applyBorder="1"/>
    <xf numFmtId="0" fontId="7" fillId="3" borderId="2" xfId="0" applyFont="1" applyFill="1" applyBorder="1" applyAlignment="1">
      <alignment horizontal="center"/>
    </xf>
    <xf numFmtId="0" fontId="11" fillId="3" borderId="2" xfId="0" applyFont="1" applyFill="1" applyBorder="1"/>
    <xf numFmtId="164" fontId="3" fillId="3" borderId="2" xfId="1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164" fontId="0" fillId="0" borderId="2" xfId="1" applyNumberFormat="1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8" fillId="0" borderId="0" xfId="0" applyFont="1" applyFill="1" applyBorder="1"/>
    <xf numFmtId="8" fontId="9" fillId="0" borderId="0" xfId="0" applyNumberFormat="1" applyFont="1" applyAlignment="1">
      <alignment horizontal="left"/>
    </xf>
    <xf numFmtId="6" fontId="9" fillId="0" borderId="0" xfId="0" applyNumberFormat="1" applyFont="1" applyAlignment="1">
      <alignment horizontal="left"/>
    </xf>
    <xf numFmtId="0" fontId="7" fillId="0" borderId="5" xfId="0" applyFont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0" fontId="5" fillId="5" borderId="16" xfId="0" applyFont="1" applyFill="1" applyBorder="1"/>
    <xf numFmtId="164" fontId="5" fillId="5" borderId="16" xfId="1" applyNumberFormat="1" applyFont="1" applyFill="1" applyBorder="1"/>
    <xf numFmtId="0" fontId="7" fillId="0" borderId="17" xfId="0" applyFont="1" applyBorder="1" applyAlignment="1">
      <alignment horizontal="center"/>
    </xf>
    <xf numFmtId="164" fontId="0" fillId="0" borderId="17" xfId="1" applyNumberFormat="1" applyFont="1" applyBorder="1"/>
    <xf numFmtId="0" fontId="14" fillId="0" borderId="2" xfId="0" applyFont="1" applyFill="1" applyBorder="1"/>
    <xf numFmtId="164" fontId="5" fillId="0" borderId="2" xfId="1" applyNumberFormat="1" applyFont="1" applyBorder="1"/>
    <xf numFmtId="0" fontId="11" fillId="0" borderId="0" xfId="0" applyFont="1" applyFill="1" applyBorder="1"/>
    <xf numFmtId="0" fontId="15" fillId="2" borderId="2" xfId="0" applyFont="1" applyFill="1" applyBorder="1"/>
    <xf numFmtId="0" fontId="10" fillId="0" borderId="0" xfId="0" applyFont="1" applyFill="1" applyAlignment="1">
      <alignment horizontal="left"/>
    </xf>
    <xf numFmtId="0" fontId="15" fillId="3" borderId="2" xfId="0" applyFont="1" applyFill="1" applyBorder="1" applyAlignment="1">
      <alignment horizontal="right"/>
    </xf>
    <xf numFmtId="164" fontId="16" fillId="3" borderId="2" xfId="1" applyNumberFormat="1" applyFont="1" applyFill="1" applyBorder="1"/>
    <xf numFmtId="0" fontId="17" fillId="0" borderId="0" xfId="0" applyFont="1" applyAlignment="1">
      <alignment horizontal="left"/>
    </xf>
    <xf numFmtId="0" fontId="11" fillId="2" borderId="2" xfId="0" applyFont="1" applyFill="1" applyBorder="1"/>
    <xf numFmtId="0" fontId="18" fillId="0" borderId="0" xfId="0" applyFont="1" applyFill="1" applyBorder="1"/>
    <xf numFmtId="0" fontId="13" fillId="3" borderId="2" xfId="0" applyFont="1" applyFill="1" applyBorder="1" applyAlignment="1">
      <alignment horizontal="right"/>
    </xf>
    <xf numFmtId="0" fontId="7" fillId="6" borderId="18" xfId="0" applyFont="1" applyFill="1" applyBorder="1" applyAlignment="1">
      <alignment horizontal="center"/>
    </xf>
    <xf numFmtId="0" fontId="11" fillId="6" borderId="19" xfId="0" applyFont="1" applyFill="1" applyBorder="1" applyAlignment="1">
      <alignment horizontal="right"/>
    </xf>
    <xf numFmtId="164" fontId="5" fillId="6" borderId="20" xfId="1" applyNumberFormat="1" applyFont="1" applyFill="1" applyBorder="1"/>
    <xf numFmtId="0" fontId="7" fillId="7" borderId="2" xfId="0" applyFont="1" applyFill="1" applyBorder="1" applyAlignment="1">
      <alignment horizontal="center"/>
    </xf>
    <xf numFmtId="0" fontId="7" fillId="8" borderId="21" xfId="0" applyFont="1" applyFill="1" applyBorder="1" applyAlignment="1">
      <alignment horizontal="center"/>
    </xf>
    <xf numFmtId="0" fontId="15" fillId="8" borderId="22" xfId="0" applyFont="1" applyFill="1" applyBorder="1" applyAlignment="1">
      <alignment horizontal="right"/>
    </xf>
    <xf numFmtId="164" fontId="7" fillId="8" borderId="23" xfId="1" applyNumberFormat="1" applyFont="1" applyFill="1" applyBorder="1"/>
    <xf numFmtId="0" fontId="7" fillId="2" borderId="17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left"/>
    </xf>
    <xf numFmtId="0" fontId="8" fillId="0" borderId="15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7" fillId="7" borderId="5" xfId="0" applyFont="1" applyFill="1" applyBorder="1" applyAlignment="1">
      <alignment horizontal="center"/>
    </xf>
    <xf numFmtId="0" fontId="7" fillId="8" borderId="16" xfId="0" applyFont="1" applyFill="1" applyBorder="1" applyAlignment="1">
      <alignment horizontal="center"/>
    </xf>
    <xf numFmtId="0" fontId="11" fillId="8" borderId="22" xfId="0" applyFont="1" applyFill="1" applyBorder="1" applyAlignment="1">
      <alignment horizontal="right"/>
    </xf>
    <xf numFmtId="164" fontId="7" fillId="8" borderId="16" xfId="1" applyNumberFormat="1" applyFont="1" applyFill="1" applyBorder="1"/>
    <xf numFmtId="0" fontId="9" fillId="0" borderId="0" xfId="0" applyFont="1" applyFill="1" applyAlignment="1">
      <alignment horizontal="left"/>
    </xf>
    <xf numFmtId="0" fontId="7" fillId="2" borderId="21" xfId="0" applyFont="1" applyFill="1" applyBorder="1" applyAlignment="1">
      <alignment horizontal="center"/>
    </xf>
    <xf numFmtId="0" fontId="15" fillId="2" borderId="22" xfId="0" applyFont="1" applyFill="1" applyBorder="1" applyAlignment="1">
      <alignment horizontal="left"/>
    </xf>
    <xf numFmtId="164" fontId="0" fillId="2" borderId="23" xfId="1" applyNumberFormat="1" applyFont="1" applyFill="1" applyBorder="1"/>
    <xf numFmtId="10" fontId="9" fillId="0" borderId="0" xfId="3" applyNumberFormat="1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7" fillId="0" borderId="2" xfId="0" applyFont="1" applyFill="1" applyBorder="1" applyAlignment="1">
      <alignment horizontal="center"/>
    </xf>
    <xf numFmtId="0" fontId="7" fillId="9" borderId="2" xfId="0" applyFont="1" applyFill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0" fontId="7" fillId="5" borderId="21" xfId="0" applyFont="1" applyFill="1" applyBorder="1" applyAlignment="1">
      <alignment horizontal="center"/>
    </xf>
    <xf numFmtId="0" fontId="14" fillId="5" borderId="22" xfId="0" applyFont="1" applyFill="1" applyBorder="1"/>
    <xf numFmtId="0" fontId="15" fillId="0" borderId="0" xfId="0" applyFont="1" applyFill="1" applyBorder="1"/>
    <xf numFmtId="0" fontId="0" fillId="0" borderId="2" xfId="0" applyFont="1" applyBorder="1"/>
    <xf numFmtId="0" fontId="15" fillId="0" borderId="2" xfId="0" applyFont="1" applyBorder="1"/>
    <xf numFmtId="0" fontId="3" fillId="0" borderId="2" xfId="0" applyFont="1" applyBorder="1"/>
    <xf numFmtId="0" fontId="14" fillId="5" borderId="22" xfId="0" applyFont="1" applyFill="1" applyBorder="1" applyAlignment="1">
      <alignment wrapText="1"/>
    </xf>
    <xf numFmtId="0" fontId="0" fillId="0" borderId="19" xfId="0" applyFont="1" applyBorder="1"/>
    <xf numFmtId="10" fontId="0" fillId="0" borderId="17" xfId="3" applyNumberFormat="1" applyFont="1" applyBorder="1"/>
    <xf numFmtId="164" fontId="0" fillId="0" borderId="0" xfId="1" applyNumberFormat="1" applyFont="1"/>
    <xf numFmtId="0" fontId="8" fillId="0" borderId="2" xfId="0" applyFont="1" applyFill="1" applyBorder="1"/>
    <xf numFmtId="0" fontId="11" fillId="0" borderId="24" xfId="0" applyFont="1" applyFill="1" applyBorder="1"/>
    <xf numFmtId="0" fontId="11" fillId="0" borderId="9" xfId="0" applyFont="1" applyFill="1" applyBorder="1"/>
    <xf numFmtId="0" fontId="11" fillId="0" borderId="25" xfId="0" applyFont="1" applyFill="1" applyBorder="1"/>
    <xf numFmtId="0" fontId="11" fillId="3" borderId="26" xfId="0" applyFont="1" applyFill="1" applyBorder="1"/>
    <xf numFmtId="0" fontId="5" fillId="5" borderId="27" xfId="0" applyFont="1" applyFill="1" applyBorder="1"/>
    <xf numFmtId="0" fontId="14" fillId="0" borderId="26" xfId="0" applyFont="1" applyFill="1" applyBorder="1"/>
    <xf numFmtId="0" fontId="15" fillId="2" borderId="26" xfId="0" applyFont="1" applyFill="1" applyBorder="1"/>
    <xf numFmtId="0" fontId="15" fillId="3" borderId="26" xfId="0" applyFont="1" applyFill="1" applyBorder="1" applyAlignment="1">
      <alignment horizontal="right"/>
    </xf>
    <xf numFmtId="0" fontId="11" fillId="2" borderId="26" xfId="0" applyFont="1" applyFill="1" applyBorder="1"/>
    <xf numFmtId="0" fontId="13" fillId="3" borderId="26" xfId="0" applyFont="1" applyFill="1" applyBorder="1" applyAlignment="1">
      <alignment horizontal="right"/>
    </xf>
    <xf numFmtId="0" fontId="0" fillId="0" borderId="26" xfId="0" applyFont="1" applyBorder="1"/>
    <xf numFmtId="0" fontId="15" fillId="0" borderId="26" xfId="0" applyFont="1" applyBorder="1"/>
    <xf numFmtId="0" fontId="3" fillId="0" borderId="26" xfId="0" applyFont="1" applyBorder="1"/>
    <xf numFmtId="164" fontId="0" fillId="0" borderId="6" xfId="1" applyNumberFormat="1" applyFont="1" applyBorder="1"/>
    <xf numFmtId="164" fontId="3" fillId="0" borderId="8" xfId="1" applyNumberFormat="1" applyFont="1" applyBorder="1"/>
    <xf numFmtId="164" fontId="8" fillId="0" borderId="8" xfId="1" applyNumberFormat="1" applyFont="1" applyFill="1" applyBorder="1"/>
    <xf numFmtId="164" fontId="0" fillId="0" borderId="8" xfId="1" applyNumberFormat="1" applyFont="1" applyBorder="1"/>
    <xf numFmtId="164" fontId="0" fillId="2" borderId="8" xfId="1" applyNumberFormat="1" applyFont="1" applyFill="1" applyBorder="1"/>
    <xf numFmtId="164" fontId="0" fillId="0" borderId="8" xfId="1" applyNumberFormat="1" applyFont="1" applyFill="1" applyBorder="1"/>
    <xf numFmtId="9" fontId="0" fillId="0" borderId="8" xfId="3" applyFont="1" applyBorder="1"/>
    <xf numFmtId="43" fontId="0" fillId="0" borderId="8" xfId="1" applyNumberFormat="1" applyFont="1" applyBorder="1"/>
    <xf numFmtId="43" fontId="0" fillId="0" borderId="8" xfId="1" applyNumberFormat="1" applyFont="1" applyFill="1" applyBorder="1"/>
    <xf numFmtId="43" fontId="5" fillId="3" borderId="8" xfId="1" applyNumberFormat="1" applyFont="1" applyFill="1" applyBorder="1"/>
    <xf numFmtId="164" fontId="3" fillId="2" borderId="8" xfId="1" applyNumberFormat="1" applyFont="1" applyFill="1" applyBorder="1" applyAlignment="1">
      <alignment horizontal="center"/>
    </xf>
    <xf numFmtId="165" fontId="0" fillId="0" borderId="8" xfId="1" applyNumberFormat="1" applyFont="1" applyBorder="1"/>
    <xf numFmtId="165" fontId="5" fillId="3" borderId="8" xfId="1" applyNumberFormat="1" applyFont="1" applyFill="1" applyBorder="1"/>
    <xf numFmtId="164" fontId="0" fillId="0" borderId="28" xfId="1" applyNumberFormat="1" applyFont="1" applyBorder="1"/>
    <xf numFmtId="164" fontId="0" fillId="0" borderId="12" xfId="1" applyNumberFormat="1" applyFont="1" applyBorder="1"/>
    <xf numFmtId="164" fontId="3" fillId="3" borderId="8" xfId="1" applyNumberFormat="1" applyFont="1" applyFill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0" fillId="0" borderId="13" xfId="1" applyNumberFormat="1" applyFont="1" applyBorder="1"/>
    <xf numFmtId="164" fontId="5" fillId="0" borderId="8" xfId="1" applyNumberFormat="1" applyFont="1" applyBorder="1"/>
    <xf numFmtId="164" fontId="16" fillId="3" borderId="8" xfId="1" applyNumberFormat="1" applyFont="1" applyFill="1" applyBorder="1"/>
    <xf numFmtId="164" fontId="19" fillId="3" borderId="8" xfId="1" applyNumberFormat="1" applyFont="1" applyFill="1" applyBorder="1"/>
    <xf numFmtId="164" fontId="5" fillId="6" borderId="14" xfId="1" applyNumberFormat="1" applyFont="1" applyFill="1" applyBorder="1"/>
    <xf numFmtId="164" fontId="0" fillId="2" borderId="16" xfId="1" applyNumberFormat="1" applyFont="1" applyFill="1" applyBorder="1"/>
    <xf numFmtId="164" fontId="0" fillId="0" borderId="13" xfId="1" applyNumberFormat="1" applyFont="1" applyFill="1" applyBorder="1"/>
    <xf numFmtId="164" fontId="0" fillId="0" borderId="28" xfId="1" applyNumberFormat="1" applyFont="1" applyFill="1" applyBorder="1"/>
    <xf numFmtId="10" fontId="0" fillId="0" borderId="14" xfId="3" applyNumberFormat="1" applyFont="1" applyBorder="1"/>
    <xf numFmtId="43" fontId="8" fillId="0" borderId="0" xfId="1" applyNumberFormat="1" applyFont="1" applyFill="1" applyBorder="1"/>
    <xf numFmtId="10" fontId="0" fillId="0" borderId="0" xfId="3" applyNumberFormat="1" applyFont="1" applyFill="1" applyBorder="1"/>
    <xf numFmtId="0" fontId="2" fillId="0" borderId="0" xfId="0" applyFont="1" applyBorder="1"/>
    <xf numFmtId="10" fontId="8" fillId="0" borderId="0" xfId="3" applyNumberFormat="1" applyFont="1" applyFill="1" applyBorder="1"/>
    <xf numFmtId="164" fontId="19" fillId="0" borderId="0" xfId="0" applyNumberFormat="1" applyFont="1"/>
    <xf numFmtId="0" fontId="0" fillId="0" borderId="0" xfId="0" applyFill="1" applyBorder="1"/>
    <xf numFmtId="0" fontId="21" fillId="0" borderId="0" xfId="0" applyFont="1"/>
    <xf numFmtId="164" fontId="0" fillId="0" borderId="29" xfId="0" applyNumberFormat="1" applyFill="1" applyBorder="1"/>
    <xf numFmtId="0" fontId="3" fillId="0" borderId="0" xfId="0" applyFont="1" applyAlignment="1">
      <alignment horizontal="right"/>
    </xf>
    <xf numFmtId="164" fontId="0" fillId="0" borderId="29" xfId="1" applyNumberFormat="1" applyFont="1" applyFill="1" applyBorder="1"/>
    <xf numFmtId="164" fontId="3" fillId="0" borderId="0" xfId="1" applyNumberFormat="1" applyFont="1" applyAlignment="1">
      <alignment horizontal="right"/>
    </xf>
    <xf numFmtId="164" fontId="14" fillId="0" borderId="0" xfId="1" applyNumberFormat="1" applyFont="1" applyFill="1" applyBorder="1"/>
    <xf numFmtId="164" fontId="0" fillId="0" borderId="31" xfId="1" applyNumberFormat="1" applyFont="1" applyBorder="1"/>
    <xf numFmtId="164" fontId="0" fillId="0" borderId="32" xfId="1" applyNumberFormat="1" applyFont="1" applyBorder="1"/>
    <xf numFmtId="164" fontId="0" fillId="0" borderId="33" xfId="1" applyNumberFormat="1" applyFont="1" applyBorder="1"/>
    <xf numFmtId="164" fontId="8" fillId="0" borderId="34" xfId="0" applyNumberFormat="1" applyFont="1" applyFill="1" applyBorder="1"/>
    <xf numFmtId="0" fontId="3" fillId="0" borderId="35" xfId="0" applyFont="1" applyBorder="1"/>
    <xf numFmtId="164" fontId="0" fillId="0" borderId="36" xfId="1" applyNumberFormat="1" applyFont="1" applyBorder="1"/>
    <xf numFmtId="164" fontId="0" fillId="0" borderId="37" xfId="1" applyNumberFormat="1" applyFont="1" applyBorder="1"/>
    <xf numFmtId="164" fontId="0" fillId="0" borderId="38" xfId="1" applyNumberFormat="1" applyFont="1" applyBorder="1"/>
    <xf numFmtId="164" fontId="8" fillId="0" borderId="39" xfId="0" applyNumberFormat="1" applyFont="1" applyFill="1" applyBorder="1"/>
    <xf numFmtId="0" fontId="8" fillId="0" borderId="35" xfId="0" applyFont="1" applyFill="1" applyBorder="1"/>
    <xf numFmtId="164" fontId="0" fillId="0" borderId="17" xfId="1" applyNumberFormat="1" applyFont="1" applyBorder="1" applyAlignment="1">
      <alignment horizontal="right"/>
    </xf>
    <xf numFmtId="0" fontId="8" fillId="0" borderId="35" xfId="0" applyFont="1" applyFill="1" applyBorder="1" applyAlignment="1">
      <alignment horizontal="left"/>
    </xf>
    <xf numFmtId="164" fontId="0" fillId="0" borderId="35" xfId="1" applyNumberFormat="1" applyFont="1" applyBorder="1"/>
    <xf numFmtId="164" fontId="0" fillId="0" borderId="39" xfId="1" applyNumberFormat="1" applyFont="1" applyBorder="1"/>
    <xf numFmtId="164" fontId="2" fillId="0" borderId="39" xfId="0" applyNumberFormat="1" applyFont="1" applyFill="1" applyBorder="1"/>
    <xf numFmtId="0" fontId="18" fillId="0" borderId="35" xfId="0" applyFont="1" applyFill="1" applyBorder="1"/>
    <xf numFmtId="43" fontId="0" fillId="0" borderId="17" xfId="1" applyNumberFormat="1" applyFont="1" applyBorder="1"/>
    <xf numFmtId="164" fontId="3" fillId="11" borderId="36" xfId="1" applyNumberFormat="1" applyFont="1" applyFill="1" applyBorder="1" applyAlignment="1">
      <alignment horizontal="center"/>
    </xf>
    <xf numFmtId="164" fontId="3" fillId="11" borderId="17" xfId="1" applyNumberFormat="1" applyFont="1" applyFill="1" applyBorder="1" applyAlignment="1">
      <alignment horizontal="center"/>
    </xf>
    <xf numFmtId="164" fontId="3" fillId="11" borderId="37" xfId="1" applyNumberFormat="1" applyFont="1" applyFill="1" applyBorder="1" applyAlignment="1">
      <alignment horizontal="center"/>
    </xf>
    <xf numFmtId="164" fontId="3" fillId="11" borderId="38" xfId="1" applyNumberFormat="1" applyFont="1" applyFill="1" applyBorder="1" applyAlignment="1">
      <alignment horizontal="center"/>
    </xf>
    <xf numFmtId="164" fontId="3" fillId="11" borderId="13" xfId="1" applyNumberFormat="1" applyFont="1" applyFill="1" applyBorder="1" applyAlignment="1">
      <alignment horizontal="center"/>
    </xf>
    <xf numFmtId="0" fontId="11" fillId="11" borderId="40" xfId="0" applyFont="1" applyFill="1" applyBorder="1"/>
    <xf numFmtId="164" fontId="5" fillId="12" borderId="41" xfId="1" applyNumberFormat="1" applyFont="1" applyFill="1" applyBorder="1"/>
    <xf numFmtId="164" fontId="5" fillId="12" borderId="42" xfId="1" applyNumberFormat="1" applyFont="1" applyFill="1" applyBorder="1"/>
    <xf numFmtId="164" fontId="5" fillId="12" borderId="34" xfId="1" applyNumberFormat="1" applyFont="1" applyFill="1" applyBorder="1"/>
    <xf numFmtId="164" fontId="5" fillId="12" borderId="33" xfId="1" applyNumberFormat="1" applyFont="1" applyFill="1" applyBorder="1"/>
    <xf numFmtId="164" fontId="5" fillId="12" borderId="10" xfId="1" applyNumberFormat="1" applyFont="1" applyFill="1" applyBorder="1"/>
    <xf numFmtId="0" fontId="5" fillId="12" borderId="25" xfId="0" applyFont="1" applyFill="1" applyBorder="1"/>
    <xf numFmtId="164" fontId="3" fillId="11" borderId="44" xfId="1" applyNumberFormat="1" applyFont="1" applyFill="1" applyBorder="1" applyAlignment="1">
      <alignment horizontal="center"/>
    </xf>
    <xf numFmtId="164" fontId="3" fillId="11" borderId="45" xfId="1" applyNumberFormat="1" applyFont="1" applyFill="1" applyBorder="1" applyAlignment="1">
      <alignment horizontal="center"/>
    </xf>
    <xf numFmtId="164" fontId="3" fillId="11" borderId="46" xfId="1" applyNumberFormat="1" applyFont="1" applyFill="1" applyBorder="1" applyAlignment="1">
      <alignment horizontal="center"/>
    </xf>
    <xf numFmtId="164" fontId="0" fillId="0" borderId="19" xfId="1" applyNumberFormat="1" applyFont="1" applyBorder="1"/>
    <xf numFmtId="38" fontId="0" fillId="0" borderId="17" xfId="1" applyNumberFormat="1" applyFont="1" applyBorder="1"/>
    <xf numFmtId="38" fontId="14" fillId="5" borderId="30" xfId="1" applyNumberFormat="1" applyFont="1" applyFill="1" applyBorder="1"/>
    <xf numFmtId="38" fontId="14" fillId="5" borderId="23" xfId="1" applyNumberFormat="1" applyFont="1" applyFill="1" applyBorder="1"/>
    <xf numFmtId="0" fontId="8" fillId="0" borderId="0" xfId="4" applyFont="1"/>
    <xf numFmtId="0" fontId="8" fillId="0" borderId="0" xfId="4" quotePrefix="1" applyFont="1"/>
    <xf numFmtId="16" fontId="8" fillId="0" borderId="0" xfId="4" quotePrefix="1" applyNumberFormat="1" applyFont="1"/>
    <xf numFmtId="10" fontId="8" fillId="0" borderId="0" xfId="3" applyNumberFormat="1" applyFont="1"/>
    <xf numFmtId="9" fontId="0" fillId="0" borderId="8" xfId="3" applyNumberFormat="1" applyFont="1" applyBorder="1"/>
    <xf numFmtId="0" fontId="0" fillId="0" borderId="0" xfId="0" applyFont="1"/>
    <xf numFmtId="164" fontId="0" fillId="0" borderId="0" xfId="0" applyNumberFormat="1" applyFont="1" applyBorder="1"/>
    <xf numFmtId="43" fontId="0" fillId="0" borderId="0" xfId="0" applyNumberFormat="1" applyFont="1"/>
    <xf numFmtId="0" fontId="0" fillId="0" borderId="0" xfId="0" applyFont="1" applyFill="1"/>
    <xf numFmtId="10" fontId="0" fillId="0" borderId="0" xfId="0" applyNumberFormat="1" applyFont="1"/>
    <xf numFmtId="0" fontId="2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43" fontId="4" fillId="0" borderId="0" xfId="0" applyNumberFormat="1" applyFont="1" applyBorder="1" applyAlignment="1">
      <alignment horizontal="left"/>
    </xf>
    <xf numFmtId="9" fontId="4" fillId="0" borderId="0" xfId="3" applyFont="1" applyBorder="1" applyAlignment="1">
      <alignment horizontal="left"/>
    </xf>
    <xf numFmtId="2" fontId="4" fillId="0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43" fontId="2" fillId="0" borderId="0" xfId="0" applyNumberFormat="1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 applyAlignment="1">
      <alignment horizontal="left"/>
    </xf>
    <xf numFmtId="6" fontId="2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0" fontId="2" fillId="0" borderId="0" xfId="3" applyNumberFormat="1" applyFont="1" applyBorder="1" applyAlignment="1">
      <alignment horizontal="left"/>
    </xf>
    <xf numFmtId="2" fontId="2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/>
    <xf numFmtId="167" fontId="8" fillId="0" borderId="0" xfId="2" applyNumberFormat="1" applyFont="1"/>
    <xf numFmtId="0" fontId="8" fillId="0" borderId="0" xfId="4" applyFont="1" applyAlignment="1">
      <alignment horizontal="center"/>
    </xf>
    <xf numFmtId="40" fontId="0" fillId="15" borderId="0" xfId="0" applyNumberFormat="1" applyFont="1" applyFill="1"/>
    <xf numFmtId="0" fontId="9" fillId="0" borderId="29" xfId="0" applyFont="1" applyBorder="1" applyAlignment="1">
      <alignment horizontal="left"/>
    </xf>
    <xf numFmtId="0" fontId="3" fillId="10" borderId="47" xfId="0" applyFont="1" applyFill="1" applyBorder="1"/>
    <xf numFmtId="164" fontId="8" fillId="10" borderId="47" xfId="0" applyNumberFormat="1" applyFont="1" applyFill="1" applyBorder="1"/>
    <xf numFmtId="0" fontId="8" fillId="0" borderId="0" xfId="0" applyFont="1" applyBorder="1"/>
    <xf numFmtId="164" fontId="8" fillId="0" borderId="0" xfId="1" applyNumberFormat="1" applyFont="1" applyBorder="1"/>
    <xf numFmtId="0" fontId="0" fillId="0" borderId="0" xfId="0" applyFont="1" applyFill="1" applyBorder="1"/>
    <xf numFmtId="0" fontId="3" fillId="14" borderId="47" xfId="0" applyFont="1" applyFill="1" applyBorder="1"/>
    <xf numFmtId="164" fontId="8" fillId="14" borderId="47" xfId="1" applyNumberFormat="1" applyFont="1" applyFill="1" applyBorder="1"/>
    <xf numFmtId="43" fontId="11" fillId="10" borderId="47" xfId="1" applyFont="1" applyFill="1" applyBorder="1"/>
    <xf numFmtId="0" fontId="3" fillId="7" borderId="47" xfId="0" applyFont="1" applyFill="1" applyBorder="1" applyAlignment="1"/>
    <xf numFmtId="41" fontId="8" fillId="13" borderId="0" xfId="0" applyNumberFormat="1" applyFont="1" applyFill="1" applyBorder="1"/>
    <xf numFmtId="41" fontId="8" fillId="3" borderId="0" xfId="0" applyNumberFormat="1" applyFont="1" applyFill="1" applyBorder="1"/>
    <xf numFmtId="0" fontId="1" fillId="7" borderId="47" xfId="0" applyFont="1" applyFill="1" applyBorder="1"/>
    <xf numFmtId="164" fontId="7" fillId="7" borderId="47" xfId="1" applyNumberFormat="1" applyFont="1" applyFill="1" applyBorder="1"/>
    <xf numFmtId="164" fontId="0" fillId="0" borderId="0" xfId="1" applyNumberFormat="1" applyFont="1" applyFill="1" applyBorder="1" applyAlignment="1">
      <alignment horizontal="center"/>
    </xf>
    <xf numFmtId="164" fontId="0" fillId="0" borderId="0" xfId="0" applyNumberFormat="1" applyFont="1"/>
    <xf numFmtId="10" fontId="0" fillId="0" borderId="0" xfId="3" applyNumberFormat="1" applyFont="1"/>
    <xf numFmtId="14" fontId="0" fillId="0" borderId="0" xfId="0" applyNumberFormat="1" applyAlignment="1">
      <alignment horizontal="center" vertical="center" wrapText="1"/>
    </xf>
    <xf numFmtId="167" fontId="0" fillId="0" borderId="0" xfId="0" applyNumberFormat="1"/>
    <xf numFmtId="44" fontId="0" fillId="0" borderId="0" xfId="0" applyNumberFormat="1"/>
    <xf numFmtId="166" fontId="0" fillId="0" borderId="0" xfId="0" applyNumberFormat="1"/>
    <xf numFmtId="43" fontId="0" fillId="0" borderId="0" xfId="0" applyNumberFormat="1"/>
    <xf numFmtId="0" fontId="0" fillId="0" borderId="0" xfId="0" applyAlignment="1">
      <alignment horizontal="center"/>
    </xf>
    <xf numFmtId="44" fontId="2" fillId="0" borderId="0" xfId="2" applyFont="1" applyBorder="1" applyAlignment="1">
      <alignment horizontal="left"/>
    </xf>
    <xf numFmtId="38" fontId="5" fillId="5" borderId="16" xfId="1" applyNumberFormat="1" applyFont="1" applyFill="1" applyBorder="1"/>
    <xf numFmtId="167" fontId="0" fillId="0" borderId="0" xfId="0" applyNumberFormat="1" applyFill="1"/>
    <xf numFmtId="38" fontId="3" fillId="0" borderId="48" xfId="0" applyNumberFormat="1" applyFont="1" applyBorder="1"/>
    <xf numFmtId="44" fontId="0" fillId="0" borderId="0" xfId="2" applyFont="1"/>
    <xf numFmtId="0" fontId="0" fillId="0" borderId="0" xfId="0" applyFont="1" applyBorder="1" applyAlignment="1">
      <alignment horizontal="center"/>
    </xf>
    <xf numFmtId="44" fontId="0" fillId="0" borderId="0" xfId="0" applyNumberFormat="1" applyFont="1"/>
    <xf numFmtId="0" fontId="19" fillId="0" borderId="0" xfId="0" applyFont="1"/>
    <xf numFmtId="0" fontId="20" fillId="0" borderId="0" xfId="4"/>
    <xf numFmtId="10" fontId="27" fillId="0" borderId="0" xfId="9" applyNumberFormat="1" applyFont="1"/>
    <xf numFmtId="168" fontId="18" fillId="0" borderId="49" xfId="4" applyNumberFormat="1" applyFont="1" applyFill="1" applyBorder="1" applyAlignment="1">
      <alignment vertical="center" wrapText="1"/>
    </xf>
    <xf numFmtId="0" fontId="18" fillId="0" borderId="49" xfId="4" applyFont="1" applyFill="1" applyBorder="1" applyAlignment="1">
      <alignment vertical="center" wrapText="1"/>
    </xf>
    <xf numFmtId="0" fontId="27" fillId="0" borderId="0" xfId="4" applyFont="1"/>
    <xf numFmtId="169" fontId="18" fillId="0" borderId="50" xfId="4" applyNumberFormat="1" applyFont="1" applyFill="1" applyBorder="1" applyAlignment="1">
      <alignment vertical="center" wrapText="1"/>
    </xf>
    <xf numFmtId="0" fontId="18" fillId="0" borderId="51" xfId="4" applyFont="1" applyFill="1" applyBorder="1" applyAlignment="1">
      <alignment vertical="center" wrapText="1"/>
    </xf>
    <xf numFmtId="168" fontId="18" fillId="0" borderId="50" xfId="4" applyNumberFormat="1" applyFont="1" applyFill="1" applyBorder="1" applyAlignment="1">
      <alignment vertical="center" wrapText="1"/>
    </xf>
    <xf numFmtId="0" fontId="18" fillId="0" borderId="50" xfId="4" applyFont="1" applyFill="1" applyBorder="1" applyAlignment="1">
      <alignment vertical="center" wrapText="1"/>
    </xf>
    <xf numFmtId="168" fontId="27" fillId="0" borderId="0" xfId="4" applyNumberFormat="1" applyFont="1"/>
    <xf numFmtId="168" fontId="20" fillId="0" borderId="0" xfId="4" applyNumberFormat="1"/>
    <xf numFmtId="0" fontId="18" fillId="0" borderId="50" xfId="4" applyFont="1" applyFill="1" applyBorder="1" applyAlignment="1">
      <alignment horizontal="right" vertical="center" wrapText="1"/>
    </xf>
    <xf numFmtId="168" fontId="18" fillId="0" borderId="52" xfId="4" applyNumberFormat="1" applyFont="1" applyFill="1" applyBorder="1" applyAlignment="1">
      <alignment vertical="center" wrapText="1"/>
    </xf>
    <xf numFmtId="0" fontId="18" fillId="0" borderId="53" xfId="4" applyNumberFormat="1" applyFont="1" applyBorder="1" applyAlignment="1">
      <alignment horizontal="right" vertical="center" wrapText="1"/>
    </xf>
    <xf numFmtId="0" fontId="18" fillId="0" borderId="43" xfId="4" applyNumberFormat="1" applyFont="1" applyBorder="1" applyAlignment="1">
      <alignment horizontal="right" vertical="center" wrapText="1"/>
    </xf>
    <xf numFmtId="0" fontId="18" fillId="0" borderId="40" xfId="4" applyNumberFormat="1" applyFont="1" applyBorder="1" applyAlignment="1">
      <alignment horizontal="right" vertical="center" wrapText="1"/>
    </xf>
    <xf numFmtId="0" fontId="18" fillId="0" borderId="54" xfId="4" applyNumberFormat="1" applyFont="1" applyBorder="1" applyAlignment="1">
      <alignment horizontal="right" vertical="center" wrapText="1"/>
    </xf>
    <xf numFmtId="0" fontId="18" fillId="0" borderId="15" xfId="4" applyNumberFormat="1" applyFont="1" applyBorder="1" applyAlignment="1">
      <alignment horizontal="right" vertical="center" wrapText="1"/>
    </xf>
    <xf numFmtId="0" fontId="18" fillId="0" borderId="55" xfId="4" applyNumberFormat="1" applyFont="1" applyFill="1" applyBorder="1" applyAlignment="1">
      <alignment horizontal="right" vertical="center" wrapText="1"/>
    </xf>
    <xf numFmtId="168" fontId="28" fillId="0" borderId="0" xfId="4" applyNumberFormat="1" applyFont="1"/>
    <xf numFmtId="168" fontId="29" fillId="0" borderId="0" xfId="4" quotePrefix="1" applyNumberFormat="1" applyFont="1"/>
    <xf numFmtId="168" fontId="30" fillId="0" borderId="0" xfId="4" quotePrefix="1" applyNumberFormat="1" applyFont="1"/>
    <xf numFmtId="0" fontId="31" fillId="0" borderId="0" xfId="4" quotePrefix="1" applyFont="1" applyAlignment="1">
      <alignment horizontal="left" vertical="center"/>
    </xf>
    <xf numFmtId="0" fontId="18" fillId="16" borderId="55" xfId="4" applyNumberFormat="1" applyFont="1" applyFill="1" applyBorder="1" applyAlignment="1">
      <alignment horizontal="right" vertical="center" wrapText="1"/>
    </xf>
    <xf numFmtId="168" fontId="30" fillId="0" borderId="0" xfId="4" applyNumberFormat="1" applyFont="1"/>
    <xf numFmtId="0" fontId="31" fillId="0" borderId="0" xfId="4" applyFont="1" applyAlignment="1">
      <alignment vertical="center"/>
    </xf>
    <xf numFmtId="0" fontId="32" fillId="0" borderId="0" xfId="4" applyFont="1"/>
    <xf numFmtId="0" fontId="33" fillId="0" borderId="0" xfId="4" applyFont="1"/>
    <xf numFmtId="0" fontId="34" fillId="0" borderId="0" xfId="4" applyFont="1"/>
    <xf numFmtId="0" fontId="35" fillId="17" borderId="0" xfId="4" applyFont="1" applyFill="1"/>
    <xf numFmtId="0" fontId="36" fillId="17" borderId="0" xfId="4" applyFont="1" applyFill="1"/>
    <xf numFmtId="0" fontId="36" fillId="18" borderId="0" xfId="4" applyFont="1" applyFill="1"/>
    <xf numFmtId="0" fontId="37" fillId="0" borderId="0" xfId="4" applyFont="1" applyAlignment="1">
      <alignment vertical="center"/>
    </xf>
    <xf numFmtId="40" fontId="20" fillId="0" borderId="0" xfId="4" applyNumberFormat="1"/>
    <xf numFmtId="0" fontId="38" fillId="0" borderId="0" xfId="4" applyFont="1"/>
    <xf numFmtId="0" fontId="39" fillId="0" borderId="0" xfId="4" applyFont="1" applyAlignment="1">
      <alignment vertical="center" wrapText="1"/>
    </xf>
    <xf numFmtId="168" fontId="18" fillId="0" borderId="49" xfId="4" applyNumberFormat="1" applyFont="1" applyFill="1" applyBorder="1" applyAlignment="1">
      <alignment horizontal="center" vertical="center" wrapText="1"/>
    </xf>
    <xf numFmtId="0" fontId="31" fillId="0" borderId="49" xfId="4" applyFont="1" applyFill="1" applyBorder="1" applyAlignment="1">
      <alignment vertical="center" wrapText="1"/>
    </xf>
    <xf numFmtId="168" fontId="18" fillId="0" borderId="59" xfId="4" applyNumberFormat="1" applyFont="1" applyBorder="1" applyAlignment="1">
      <alignment horizontal="center" vertical="center" wrapText="1"/>
    </xf>
    <xf numFmtId="0" fontId="31" fillId="0" borderId="59" xfId="4" applyFont="1" applyBorder="1" applyAlignment="1">
      <alignment vertical="center" wrapText="1"/>
    </xf>
    <xf numFmtId="168" fontId="18" fillId="0" borderId="60" xfId="4" applyNumberFormat="1" applyFont="1" applyBorder="1" applyAlignment="1">
      <alignment horizontal="center" vertical="center" wrapText="1"/>
    </xf>
    <xf numFmtId="170" fontId="18" fillId="0" borderId="60" xfId="4" applyNumberFormat="1" applyFont="1" applyBorder="1" applyAlignment="1">
      <alignment horizontal="center" vertical="center" wrapText="1"/>
    </xf>
    <xf numFmtId="0" fontId="31" fillId="0" borderId="60" xfId="4" applyFont="1" applyBorder="1" applyAlignment="1">
      <alignment vertical="center" wrapText="1"/>
    </xf>
    <xf numFmtId="168" fontId="18" fillId="0" borderId="51" xfId="4" applyNumberFormat="1" applyFont="1" applyFill="1" applyBorder="1" applyAlignment="1">
      <alignment horizontal="center" vertical="center" wrapText="1"/>
    </xf>
    <xf numFmtId="168" fontId="18" fillId="0" borderId="50" xfId="4" applyNumberFormat="1" applyFont="1" applyFill="1" applyBorder="1" applyAlignment="1">
      <alignment horizontal="center" vertical="center" wrapText="1"/>
    </xf>
    <xf numFmtId="0" fontId="18" fillId="0" borderId="51" xfId="4" applyFont="1" applyBorder="1" applyAlignment="1">
      <alignment vertical="center" wrapText="1"/>
    </xf>
    <xf numFmtId="168" fontId="18" fillId="0" borderId="50" xfId="4" applyNumberFormat="1" applyFont="1" applyBorder="1" applyAlignment="1">
      <alignment horizontal="center" vertical="center" wrapText="1"/>
    </xf>
    <xf numFmtId="170" fontId="18" fillId="0" borderId="50" xfId="4" applyNumberFormat="1" applyFont="1" applyFill="1" applyBorder="1" applyAlignment="1">
      <alignment horizontal="center" vertical="center" wrapText="1"/>
    </xf>
    <xf numFmtId="0" fontId="31" fillId="19" borderId="60" xfId="4" applyFont="1" applyFill="1" applyBorder="1" applyAlignment="1">
      <alignment vertical="center" wrapText="1"/>
    </xf>
    <xf numFmtId="0" fontId="31" fillId="0" borderId="0" xfId="4" applyFont="1" applyBorder="1" applyAlignment="1">
      <alignment horizontal="justify" vertical="center" wrapText="1"/>
    </xf>
    <xf numFmtId="0" fontId="31" fillId="0" borderId="0" xfId="4" applyFont="1" applyBorder="1" applyAlignment="1">
      <alignment vertical="center" wrapText="1"/>
    </xf>
    <xf numFmtId="0" fontId="20" fillId="0" borderId="0" xfId="4" applyBorder="1"/>
    <xf numFmtId="0" fontId="20" fillId="0" borderId="0" xfId="4" applyAlignment="1">
      <alignment horizontal="center"/>
    </xf>
    <xf numFmtId="0" fontId="31" fillId="19" borderId="60" xfId="4" applyFont="1" applyFill="1" applyBorder="1" applyAlignment="1">
      <alignment horizontal="center" vertical="center" wrapText="1"/>
    </xf>
    <xf numFmtId="0" fontId="31" fillId="0" borderId="0" xfId="4" applyFont="1" applyFill="1" applyBorder="1" applyAlignment="1">
      <alignment horizontal="center" vertical="center" wrapText="1"/>
    </xf>
    <xf numFmtId="0" fontId="31" fillId="0" borderId="0" xfId="4" applyFont="1" applyFill="1" applyBorder="1" applyAlignment="1">
      <alignment vertical="center" wrapText="1"/>
    </xf>
    <xf numFmtId="169" fontId="18" fillId="0" borderId="49" xfId="4" applyNumberFormat="1" applyFont="1" applyFill="1" applyBorder="1" applyAlignment="1">
      <alignment horizontal="center" vertical="center" wrapText="1"/>
    </xf>
    <xf numFmtId="171" fontId="20" fillId="0" borderId="0" xfId="4" applyNumberFormat="1"/>
    <xf numFmtId="0" fontId="31" fillId="19" borderId="47" xfId="4" applyFont="1" applyFill="1" applyBorder="1" applyAlignment="1">
      <alignment vertical="center" wrapText="1"/>
    </xf>
    <xf numFmtId="168" fontId="18" fillId="0" borderId="52" xfId="4" applyNumberFormat="1" applyFont="1" applyFill="1" applyBorder="1" applyAlignment="1">
      <alignment horizontal="center" vertical="center" wrapText="1"/>
    </xf>
    <xf numFmtId="0" fontId="18" fillId="0" borderId="52" xfId="4" applyFont="1" applyFill="1" applyBorder="1" applyAlignment="1">
      <alignment vertical="center" wrapText="1"/>
    </xf>
    <xf numFmtId="0" fontId="31" fillId="19" borderId="61" xfId="4" applyFont="1" applyFill="1" applyBorder="1" applyAlignment="1">
      <alignment vertical="center" wrapText="1"/>
    </xf>
    <xf numFmtId="0" fontId="31" fillId="19" borderId="26" xfId="4" applyFont="1" applyFill="1" applyBorder="1" applyAlignment="1">
      <alignment vertical="center" wrapText="1"/>
    </xf>
    <xf numFmtId="0" fontId="18" fillId="0" borderId="0" xfId="4" applyFont="1" applyBorder="1" applyAlignment="1">
      <alignment vertical="center" wrapText="1"/>
    </xf>
    <xf numFmtId="0" fontId="31" fillId="0" borderId="15" xfId="4" applyFont="1" applyBorder="1" applyAlignment="1">
      <alignment vertical="center" wrapText="1"/>
    </xf>
    <xf numFmtId="168" fontId="18" fillId="0" borderId="59" xfId="4" applyNumberFormat="1" applyFont="1" applyFill="1" applyBorder="1" applyAlignment="1">
      <alignment horizontal="center" vertical="center" wrapText="1"/>
    </xf>
    <xf numFmtId="0" fontId="31" fillId="0" borderId="59" xfId="4" applyFont="1" applyFill="1" applyBorder="1" applyAlignment="1">
      <alignment vertical="center" wrapText="1"/>
    </xf>
    <xf numFmtId="0" fontId="31" fillId="19" borderId="62" xfId="4" applyFont="1" applyFill="1" applyBorder="1" applyAlignment="1">
      <alignment horizontal="center" vertical="center" wrapText="1"/>
    </xf>
    <xf numFmtId="0" fontId="31" fillId="19" borderId="63" xfId="4" applyFont="1" applyFill="1" applyBorder="1" applyAlignment="1">
      <alignment horizontal="center" vertical="center" wrapText="1"/>
    </xf>
    <xf numFmtId="0" fontId="31" fillId="19" borderId="64" xfId="4" applyFont="1" applyFill="1" applyBorder="1" applyAlignment="1">
      <alignment horizontal="right" vertical="center" wrapText="1" indent="4"/>
    </xf>
    <xf numFmtId="0" fontId="40" fillId="0" borderId="0" xfId="4" applyFont="1"/>
    <xf numFmtId="0" fontId="18" fillId="0" borderId="0" xfId="4" applyFont="1" applyAlignment="1">
      <alignment vertical="center"/>
    </xf>
    <xf numFmtId="168" fontId="31" fillId="0" borderId="0" xfId="4" applyNumberFormat="1" applyFont="1" applyBorder="1" applyAlignment="1">
      <alignment vertical="center" wrapText="1"/>
    </xf>
    <xf numFmtId="168" fontId="31" fillId="0" borderId="15" xfId="4" applyNumberFormat="1" applyFont="1" applyBorder="1" applyAlignment="1">
      <alignment horizontal="center" vertical="center" wrapText="1"/>
    </xf>
    <xf numFmtId="172" fontId="35" fillId="0" borderId="53" xfId="4" applyNumberFormat="1" applyFont="1" applyBorder="1"/>
    <xf numFmtId="172" fontId="35" fillId="0" borderId="43" xfId="4" applyNumberFormat="1" applyFont="1" applyBorder="1"/>
    <xf numFmtId="172" fontId="35" fillId="0" borderId="40" xfId="4" applyNumberFormat="1" applyFont="1" applyBorder="1"/>
    <xf numFmtId="172" fontId="35" fillId="0" borderId="54" xfId="4" applyNumberFormat="1" applyFont="1" applyBorder="1"/>
    <xf numFmtId="172" fontId="35" fillId="0" borderId="15" xfId="4" applyNumberFormat="1" applyFont="1" applyBorder="1"/>
    <xf numFmtId="172" fontId="41" fillId="16" borderId="55" xfId="4" applyNumberFormat="1" applyFont="1" applyFill="1" applyBorder="1"/>
    <xf numFmtId="168" fontId="35" fillId="0" borderId="15" xfId="4" applyNumberFormat="1" applyFont="1" applyBorder="1" applyAlignment="1">
      <alignment horizontal="right"/>
    </xf>
    <xf numFmtId="168" fontId="20" fillId="0" borderId="54" xfId="4" applyNumberFormat="1" applyBorder="1"/>
    <xf numFmtId="168" fontId="20" fillId="0" borderId="15" xfId="4" applyNumberFormat="1" applyBorder="1"/>
    <xf numFmtId="168" fontId="35" fillId="0" borderId="55" xfId="4" applyNumberFormat="1" applyFont="1" applyBorder="1"/>
    <xf numFmtId="0" fontId="42" fillId="0" borderId="0" xfId="4" applyFont="1"/>
    <xf numFmtId="9" fontId="27" fillId="0" borderId="0" xfId="9" applyNumberFormat="1" applyFont="1"/>
    <xf numFmtId="170" fontId="18" fillId="0" borderId="52" xfId="4" applyNumberFormat="1" applyFont="1" applyBorder="1" applyAlignment="1">
      <alignment horizontal="center" vertical="center" wrapText="1"/>
    </xf>
    <xf numFmtId="170" fontId="18" fillId="0" borderId="50" xfId="4" applyNumberFormat="1" applyFont="1" applyBorder="1" applyAlignment="1">
      <alignment horizontal="center" vertical="center" wrapText="1"/>
    </xf>
    <xf numFmtId="43" fontId="0" fillId="0" borderId="0" xfId="1" applyFont="1"/>
    <xf numFmtId="0" fontId="15" fillId="0" borderId="0" xfId="0" applyFont="1"/>
    <xf numFmtId="164" fontId="0" fillId="0" borderId="8" xfId="3" applyNumberFormat="1" applyFont="1" applyBorder="1"/>
    <xf numFmtId="0" fontId="0" fillId="0" borderId="2" xfId="0" applyBorder="1"/>
    <xf numFmtId="0" fontId="0" fillId="20" borderId="2" xfId="0" applyFill="1" applyBorder="1"/>
    <xf numFmtId="164" fontId="0" fillId="0" borderId="2" xfId="0" applyNumberFormat="1" applyBorder="1"/>
    <xf numFmtId="10" fontId="0" fillId="0" borderId="2" xfId="3" applyNumberFormat="1" applyFont="1" applyBorder="1"/>
    <xf numFmtId="0" fontId="0" fillId="0" borderId="2" xfId="0" applyBorder="1" applyAlignment="1"/>
    <xf numFmtId="0" fontId="2" fillId="0" borderId="0" xfId="0" applyFont="1" applyAlignment="1"/>
    <xf numFmtId="164" fontId="2" fillId="0" borderId="0" xfId="0" applyNumberFormat="1" applyFont="1"/>
    <xf numFmtId="164" fontId="2" fillId="0" borderId="0" xfId="1" applyNumberFormat="1" applyFont="1"/>
    <xf numFmtId="10" fontId="2" fillId="0" borderId="0" xfId="3" applyNumberFormat="1" applyFont="1"/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10" fontId="0" fillId="0" borderId="0" xfId="0" applyNumberFormat="1"/>
    <xf numFmtId="43" fontId="0" fillId="0" borderId="0" xfId="1" applyNumberFormat="1" applyFont="1"/>
    <xf numFmtId="0" fontId="43" fillId="0" borderId="0" xfId="0" applyFont="1"/>
    <xf numFmtId="0" fontId="44" fillId="0" borderId="0" xfId="0" applyFont="1"/>
    <xf numFmtId="0" fontId="44" fillId="0" borderId="2" xfId="0" applyFont="1" applyBorder="1" applyAlignment="1">
      <alignment horizontal="center"/>
    </xf>
    <xf numFmtId="0" fontId="43" fillId="0" borderId="2" xfId="0" applyFont="1" applyBorder="1"/>
    <xf numFmtId="1" fontId="43" fillId="0" borderId="2" xfId="0" applyNumberFormat="1" applyFont="1" applyBorder="1" applyAlignment="1">
      <alignment horizontal="center"/>
    </xf>
    <xf numFmtId="173" fontId="43" fillId="0" borderId="2" xfId="0" applyNumberFormat="1" applyFont="1" applyBorder="1" applyAlignment="1">
      <alignment horizontal="center"/>
    </xf>
    <xf numFmtId="0" fontId="44" fillId="0" borderId="2" xfId="0" applyFont="1" applyBorder="1" applyAlignment="1">
      <alignment horizontal="right"/>
    </xf>
    <xf numFmtId="173" fontId="44" fillId="0" borderId="2" xfId="0" applyNumberFormat="1" applyFont="1" applyBorder="1" applyAlignment="1">
      <alignment horizontal="center"/>
    </xf>
    <xf numFmtId="167" fontId="44" fillId="0" borderId="2" xfId="2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4" fillId="0" borderId="5" xfId="0" applyFont="1" applyBorder="1" applyAlignment="1">
      <alignment horizontal="center"/>
    </xf>
    <xf numFmtId="167" fontId="43" fillId="0" borderId="2" xfId="2" applyNumberFormat="1" applyFont="1" applyBorder="1"/>
    <xf numFmtId="10" fontId="43" fillId="0" borderId="2" xfId="3" applyNumberFormat="1" applyFont="1" applyBorder="1" applyAlignment="1">
      <alignment horizontal="center"/>
    </xf>
    <xf numFmtId="167" fontId="44" fillId="0" borderId="2" xfId="0" applyNumberFormat="1" applyFont="1" applyBorder="1"/>
    <xf numFmtId="0" fontId="45" fillId="0" borderId="0" xfId="4" applyFont="1"/>
    <xf numFmtId="0" fontId="46" fillId="0" borderId="2" xfId="4" applyFont="1" applyBorder="1" applyAlignment="1">
      <alignment horizontal="right"/>
    </xf>
    <xf numFmtId="0" fontId="43" fillId="0" borderId="2" xfId="4" applyFont="1" applyBorder="1" applyAlignment="1">
      <alignment horizontal="center"/>
    </xf>
    <xf numFmtId="0" fontId="46" fillId="0" borderId="2" xfId="4" applyFont="1" applyBorder="1" applyAlignment="1">
      <alignment horizontal="center" wrapText="1"/>
    </xf>
    <xf numFmtId="44" fontId="45" fillId="0" borderId="2" xfId="4" applyNumberFormat="1" applyFont="1" applyBorder="1"/>
    <xf numFmtId="0" fontId="46" fillId="0" borderId="0" xfId="4" applyFont="1" applyBorder="1" applyAlignment="1">
      <alignment horizontal="right"/>
    </xf>
    <xf numFmtId="44" fontId="45" fillId="0" borderId="0" xfId="4" applyNumberFormat="1" applyFont="1" applyBorder="1"/>
    <xf numFmtId="0" fontId="46" fillId="0" borderId="2" xfId="4" applyFont="1" applyBorder="1" applyAlignment="1">
      <alignment horizontal="center"/>
    </xf>
    <xf numFmtId="44" fontId="45" fillId="0" borderId="2" xfId="4" applyNumberFormat="1" applyFont="1" applyBorder="1" applyAlignment="1">
      <alignment horizontal="center"/>
    </xf>
    <xf numFmtId="44" fontId="46" fillId="0" borderId="2" xfId="4" applyNumberFormat="1" applyFont="1" applyBorder="1"/>
    <xf numFmtId="0" fontId="47" fillId="0" borderId="2" xfId="4" applyFont="1" applyBorder="1" applyAlignment="1">
      <alignment horizontal="center"/>
    </xf>
    <xf numFmtId="0" fontId="45" fillId="0" borderId="2" xfId="4" applyFont="1" applyBorder="1"/>
    <xf numFmtId="14" fontId="45" fillId="0" borderId="0" xfId="4" applyNumberFormat="1" applyFont="1" applyAlignment="1">
      <alignment horizontal="center"/>
    </xf>
    <xf numFmtId="44" fontId="0" fillId="0" borderId="0" xfId="2" applyNumberFormat="1" applyFont="1"/>
    <xf numFmtId="9" fontId="0" fillId="0" borderId="0" xfId="3" applyFont="1"/>
    <xf numFmtId="0" fontId="8" fillId="0" borderId="29" xfId="0" applyFont="1" applyBorder="1"/>
    <xf numFmtId="0" fontId="8" fillId="0" borderId="0" xfId="0" applyFont="1"/>
    <xf numFmtId="0" fontId="0" fillId="0" borderId="32" xfId="0" applyBorder="1" applyAlignment="1">
      <alignment horizontal="right"/>
    </xf>
    <xf numFmtId="9" fontId="0" fillId="0" borderId="8" xfId="3" applyFont="1" applyFill="1" applyBorder="1"/>
    <xf numFmtId="0" fontId="8" fillId="0" borderId="55" xfId="0" applyFont="1" applyBorder="1"/>
    <xf numFmtId="164" fontId="0" fillId="0" borderId="0" xfId="1" applyNumberFormat="1" applyFont="1" applyFill="1" applyBorder="1"/>
    <xf numFmtId="164" fontId="8" fillId="21" borderId="8" xfId="1" applyNumberFormat="1" applyFont="1" applyFill="1" applyBorder="1"/>
    <xf numFmtId="0" fontId="8" fillId="0" borderId="8" xfId="2" applyNumberFormat="1" applyFont="1" applyFill="1" applyBorder="1" applyAlignment="1">
      <alignment horizontal="right"/>
    </xf>
    <xf numFmtId="0" fontId="44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textRotation="45"/>
    </xf>
    <xf numFmtId="0" fontId="0" fillId="0" borderId="0" xfId="0" applyBorder="1" applyAlignment="1"/>
    <xf numFmtId="164" fontId="0" fillId="0" borderId="0" xfId="0" applyNumberFormat="1" applyBorder="1"/>
    <xf numFmtId="10" fontId="0" fillId="0" borderId="0" xfId="3" applyNumberFormat="1" applyFont="1" applyBorder="1"/>
    <xf numFmtId="0" fontId="48" fillId="0" borderId="0" xfId="0" applyFont="1"/>
    <xf numFmtId="0" fontId="3" fillId="0" borderId="0" xfId="0" applyFont="1"/>
    <xf numFmtId="164" fontId="3" fillId="0" borderId="0" xfId="1" applyNumberFormat="1" applyFont="1"/>
    <xf numFmtId="0" fontId="49" fillId="0" borderId="0" xfId="0" applyFont="1"/>
    <xf numFmtId="0" fontId="3" fillId="22" borderId="0" xfId="0" applyFont="1" applyFill="1"/>
    <xf numFmtId="0" fontId="0" fillId="22" borderId="0" xfId="0" applyFont="1" applyFill="1"/>
    <xf numFmtId="0" fontId="0" fillId="22" borderId="0" xfId="0" applyFill="1"/>
    <xf numFmtId="6" fontId="0" fillId="0" borderId="0" xfId="0" applyNumberFormat="1" applyFont="1"/>
    <xf numFmtId="9" fontId="2" fillId="0" borderId="0" xfId="0" applyNumberFormat="1" applyFont="1" applyBorder="1" applyAlignment="1">
      <alignment horizontal="left"/>
    </xf>
    <xf numFmtId="43" fontId="2" fillId="0" borderId="0" xfId="1" applyFont="1" applyBorder="1" applyAlignment="1">
      <alignment horizontal="left"/>
    </xf>
    <xf numFmtId="166" fontId="7" fillId="0" borderId="6" xfId="3" applyNumberFormat="1" applyFont="1" applyBorder="1" applyAlignment="1">
      <alignment horizontal="center"/>
    </xf>
    <xf numFmtId="166" fontId="7" fillId="0" borderId="8" xfId="3" applyNumberFormat="1" applyFont="1" applyBorder="1" applyAlignment="1">
      <alignment horizontal="center"/>
    </xf>
    <xf numFmtId="166" fontId="7" fillId="0" borderId="10" xfId="3" applyNumberFormat="1" applyFont="1" applyBorder="1" applyAlignment="1">
      <alignment horizontal="center"/>
    </xf>
    <xf numFmtId="10" fontId="0" fillId="0" borderId="0" xfId="3" applyNumberFormat="1" applyFont="1" applyAlignment="1">
      <alignment horizontal="right"/>
    </xf>
    <xf numFmtId="9" fontId="8" fillId="0" borderId="8" xfId="3" applyFont="1" applyFill="1" applyBorder="1"/>
    <xf numFmtId="43" fontId="8" fillId="0" borderId="8" xfId="1" applyNumberFormat="1" applyFont="1" applyFill="1" applyBorder="1"/>
    <xf numFmtId="43" fontId="7" fillId="0" borderId="0" xfId="0" applyNumberFormat="1" applyFont="1" applyBorder="1" applyAlignment="1">
      <alignment horizontal="left"/>
    </xf>
    <xf numFmtId="2" fontId="7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9" fontId="7" fillId="0" borderId="0" xfId="3" applyFont="1" applyBorder="1" applyAlignment="1">
      <alignment horizontal="left"/>
    </xf>
    <xf numFmtId="9" fontId="9" fillId="0" borderId="0" xfId="3" applyFont="1" applyBorder="1" applyAlignment="1">
      <alignment horizontal="left"/>
    </xf>
    <xf numFmtId="43" fontId="9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168" fontId="18" fillId="0" borderId="50" xfId="4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0" fontId="51" fillId="0" borderId="0" xfId="5" applyFont="1" applyAlignment="1">
      <alignment horizontal="center"/>
    </xf>
    <xf numFmtId="0" fontId="3" fillId="0" borderId="0" xfId="5" applyFont="1" applyAlignment="1">
      <alignment horizontal="center" vertical="center"/>
    </xf>
    <xf numFmtId="0" fontId="53" fillId="0" borderId="3" xfId="7" applyNumberFormat="1" applyFont="1" applyFill="1" applyBorder="1" applyAlignment="1">
      <alignment horizontal="left"/>
    </xf>
    <xf numFmtId="164" fontId="8" fillId="10" borderId="65" xfId="5" applyNumberFormat="1" applyFont="1" applyFill="1" applyBorder="1"/>
    <xf numFmtId="164" fontId="8" fillId="10" borderId="32" xfId="5" applyNumberFormat="1" applyFont="1" applyFill="1" applyBorder="1"/>
    <xf numFmtId="0" fontId="53" fillId="0" borderId="4" xfId="5" applyFont="1" applyBorder="1" applyAlignment="1">
      <alignment horizontal="left"/>
    </xf>
    <xf numFmtId="164" fontId="8" fillId="10" borderId="2" xfId="8" applyNumberFormat="1" applyFont="1" applyFill="1" applyBorder="1"/>
    <xf numFmtId="0" fontId="53" fillId="0" borderId="4" xfId="7" applyNumberFormat="1" applyFont="1" applyFill="1" applyBorder="1" applyAlignment="1">
      <alignment horizontal="left"/>
    </xf>
    <xf numFmtId="0" fontId="26" fillId="0" borderId="4" xfId="5" applyBorder="1" applyAlignment="1">
      <alignment horizontal="left"/>
    </xf>
    <xf numFmtId="164" fontId="8" fillId="10" borderId="61" xfId="8" applyNumberFormat="1" applyFont="1" applyFill="1" applyBorder="1"/>
    <xf numFmtId="0" fontId="26" fillId="0" borderId="66" xfId="5" applyBorder="1" applyAlignment="1">
      <alignment horizontal="left"/>
    </xf>
    <xf numFmtId="164" fontId="8" fillId="10" borderId="33" xfId="8" applyNumberFormat="1" applyFont="1" applyFill="1" applyBorder="1"/>
    <xf numFmtId="164" fontId="8" fillId="10" borderId="34" xfId="8" applyNumberFormat="1" applyFont="1" applyFill="1" applyBorder="1"/>
    <xf numFmtId="164" fontId="8" fillId="10" borderId="67" xfId="5" applyNumberFormat="1" applyFont="1" applyFill="1" applyBorder="1"/>
    <xf numFmtId="164" fontId="8" fillId="10" borderId="68" xfId="8" applyNumberFormat="1" applyFont="1" applyFill="1" applyBorder="1"/>
    <xf numFmtId="164" fontId="8" fillId="10" borderId="11" xfId="5" applyNumberFormat="1" applyFont="1" applyFill="1" applyBorder="1"/>
    <xf numFmtId="164" fontId="8" fillId="10" borderId="2" xfId="5" applyNumberFormat="1" applyFont="1" applyFill="1" applyBorder="1"/>
    <xf numFmtId="164" fontId="8" fillId="10" borderId="42" xfId="8" applyNumberFormat="1" applyFont="1" applyFill="1" applyBorder="1"/>
    <xf numFmtId="0" fontId="11" fillId="10" borderId="17" xfId="5" applyFont="1" applyFill="1" applyBorder="1" applyAlignment="1">
      <alignment horizontal="center" vertical="center"/>
    </xf>
    <xf numFmtId="0" fontId="26" fillId="10" borderId="17" xfId="5" applyFill="1" applyBorder="1" applyAlignment="1">
      <alignment vertical="center"/>
    </xf>
    <xf numFmtId="0" fontId="7" fillId="0" borderId="26" xfId="0" applyFont="1" applyBorder="1" applyAlignment="1">
      <alignment horizontal="center"/>
    </xf>
    <xf numFmtId="0" fontId="8" fillId="0" borderId="31" xfId="0" applyFont="1" applyFill="1" applyBorder="1"/>
    <xf numFmtId="0" fontId="8" fillId="0" borderId="31" xfId="0" applyFont="1" applyFill="1" applyBorder="1" applyProtection="1">
      <protection locked="0"/>
    </xf>
    <xf numFmtId="0" fontId="3" fillId="0" borderId="0" xfId="0" applyFont="1" applyBorder="1"/>
    <xf numFmtId="0" fontId="8" fillId="0" borderId="29" xfId="0" applyFont="1" applyFill="1" applyBorder="1"/>
    <xf numFmtId="0" fontId="8" fillId="0" borderId="29" xfId="0" applyFont="1" applyFill="1" applyBorder="1" applyProtection="1">
      <protection locked="0"/>
    </xf>
    <xf numFmtId="164" fontId="8" fillId="0" borderId="70" xfId="0" applyNumberFormat="1" applyFont="1" applyFill="1" applyBorder="1"/>
    <xf numFmtId="168" fontId="18" fillId="0" borderId="50" xfId="4" applyNumberFormat="1" applyFont="1" applyFill="1" applyBorder="1" applyAlignment="1">
      <alignment horizontal="center" vertical="center" wrapText="1"/>
    </xf>
    <xf numFmtId="170" fontId="18" fillId="0" borderId="50" xfId="4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/>
    </xf>
    <xf numFmtId="169" fontId="18" fillId="0" borderId="50" xfId="4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7" fillId="8" borderId="67" xfId="0" applyFont="1" applyFill="1" applyBorder="1" applyAlignment="1">
      <alignment horizontal="center"/>
    </xf>
    <xf numFmtId="164" fontId="7" fillId="23" borderId="16" xfId="1" applyNumberFormat="1" applyFont="1" applyFill="1" applyBorder="1"/>
    <xf numFmtId="0" fontId="8" fillId="0" borderId="4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3" xfId="0" applyBorder="1" applyAlignment="1">
      <alignment horizontal="right"/>
    </xf>
    <xf numFmtId="0" fontId="4" fillId="0" borderId="3" xfId="0" applyFont="1" applyBorder="1" applyAlignment="1">
      <alignment horizontal="right"/>
    </xf>
    <xf numFmtId="0" fontId="8" fillId="0" borderId="3" xfId="0" applyFont="1" applyBorder="1" applyProtection="1">
      <protection locked="0"/>
    </xf>
    <xf numFmtId="43" fontId="0" fillId="0" borderId="8" xfId="1" applyFont="1" applyBorder="1"/>
    <xf numFmtId="43" fontId="0" fillId="0" borderId="8" xfId="1" applyFont="1" applyFill="1" applyBorder="1"/>
    <xf numFmtId="0" fontId="8" fillId="0" borderId="3" xfId="0" applyFont="1" applyBorder="1" applyAlignment="1" applyProtection="1">
      <alignment horizontal="left"/>
      <protection locked="0"/>
    </xf>
    <xf numFmtId="43" fontId="5" fillId="3" borderId="8" xfId="1" applyFont="1" applyFill="1" applyBorder="1"/>
    <xf numFmtId="0" fontId="11" fillId="0" borderId="3" xfId="0" applyFont="1" applyBorder="1"/>
    <xf numFmtId="0" fontId="8" fillId="0" borderId="3" xfId="0" applyFont="1" applyBorder="1" applyAlignment="1" applyProtection="1">
      <alignment wrapText="1"/>
      <protection locked="0"/>
    </xf>
    <xf numFmtId="0" fontId="8" fillId="0" borderId="3" xfId="0" applyFont="1" applyBorder="1"/>
    <xf numFmtId="0" fontId="12" fillId="0" borderId="3" xfId="0" applyFont="1" applyBorder="1" applyProtection="1">
      <protection locked="0"/>
    </xf>
    <xf numFmtId="43" fontId="7" fillId="0" borderId="6" xfId="1" applyFont="1" applyBorder="1"/>
    <xf numFmtId="43" fontId="7" fillId="0" borderId="8" xfId="1" applyFont="1" applyBorder="1"/>
    <xf numFmtId="43" fontId="7" fillId="0" borderId="10" xfId="1" applyFont="1" applyBorder="1"/>
    <xf numFmtId="0" fontId="11" fillId="0" borderId="24" xfId="0" applyFont="1" applyBorder="1"/>
    <xf numFmtId="0" fontId="11" fillId="0" borderId="9" xfId="0" applyFont="1" applyBorder="1"/>
    <xf numFmtId="0" fontId="11" fillId="0" borderId="25" xfId="0" applyFont="1" applyBorder="1"/>
    <xf numFmtId="0" fontId="11" fillId="14" borderId="26" xfId="0" applyFont="1" applyFill="1" applyBorder="1"/>
    <xf numFmtId="164" fontId="3" fillId="14" borderId="8" xfId="1" applyNumberFormat="1" applyFont="1" applyFill="1" applyBorder="1" applyAlignment="1">
      <alignment horizontal="center"/>
    </xf>
    <xf numFmtId="164" fontId="8" fillId="0" borderId="2" xfId="2" applyNumberFormat="1" applyFont="1" applyBorder="1"/>
    <xf numFmtId="0" fontId="11" fillId="0" borderId="0" xfId="0" applyFont="1"/>
    <xf numFmtId="0" fontId="11" fillId="14" borderId="22" xfId="0" applyFont="1" applyFill="1" applyBorder="1" applyAlignment="1">
      <alignment horizontal="right"/>
    </xf>
    <xf numFmtId="164" fontId="5" fillId="14" borderId="16" xfId="1" applyNumberFormat="1" applyFont="1" applyFill="1" applyBorder="1"/>
    <xf numFmtId="0" fontId="14" fillId="0" borderId="26" xfId="0" applyFont="1" applyBorder="1"/>
    <xf numFmtId="0" fontId="11" fillId="23" borderId="71" xfId="0" applyFont="1" applyFill="1" applyBorder="1" applyAlignment="1">
      <alignment horizontal="left"/>
    </xf>
    <xf numFmtId="164" fontId="3" fillId="23" borderId="28" xfId="1" applyNumberFormat="1" applyFont="1" applyFill="1" applyBorder="1" applyAlignment="1">
      <alignment horizontal="center"/>
    </xf>
    <xf numFmtId="0" fontId="15" fillId="2" borderId="72" xfId="0" applyFont="1" applyFill="1" applyBorder="1"/>
    <xf numFmtId="0" fontId="11" fillId="2" borderId="6" xfId="0" applyFont="1" applyFill="1" applyBorder="1" applyAlignment="1">
      <alignment horizontal="center"/>
    </xf>
    <xf numFmtId="0" fontId="8" fillId="0" borderId="31" xfId="0" applyFont="1" applyBorder="1"/>
    <xf numFmtId="0" fontId="8" fillId="0" borderId="31" xfId="0" applyFont="1" applyBorder="1" applyProtection="1">
      <protection locked="0"/>
    </xf>
    <xf numFmtId="0" fontId="8" fillId="23" borderId="42" xfId="0" applyFont="1" applyFill="1" applyBorder="1" applyAlignment="1">
      <alignment horizontal="right"/>
    </xf>
    <xf numFmtId="164" fontId="7" fillId="23" borderId="42" xfId="1" applyNumberFormat="1" applyFont="1" applyFill="1" applyBorder="1"/>
    <xf numFmtId="164" fontId="7" fillId="23" borderId="71" xfId="1" applyNumberFormat="1" applyFont="1" applyFill="1" applyBorder="1"/>
    <xf numFmtId="164" fontId="7" fillId="23" borderId="10" xfId="1" applyNumberFormat="1" applyFont="1" applyFill="1" applyBorder="1"/>
    <xf numFmtId="0" fontId="8" fillId="23" borderId="71" xfId="0" applyFont="1" applyFill="1" applyBorder="1" applyAlignment="1">
      <alignment horizontal="right"/>
    </xf>
    <xf numFmtId="0" fontId="11" fillId="23" borderId="42" xfId="0" applyFont="1" applyFill="1" applyBorder="1" applyAlignment="1">
      <alignment horizontal="right"/>
    </xf>
    <xf numFmtId="0" fontId="11" fillId="23" borderId="71" xfId="0" applyFont="1" applyFill="1" applyBorder="1" applyAlignment="1">
      <alignment horizontal="right"/>
    </xf>
    <xf numFmtId="164" fontId="7" fillId="23" borderId="28" xfId="1" applyNumberFormat="1" applyFont="1" applyFill="1" applyBorder="1"/>
    <xf numFmtId="0" fontId="15" fillId="23" borderId="22" xfId="0" applyFont="1" applyFill="1" applyBorder="1" applyAlignment="1">
      <alignment horizontal="right"/>
    </xf>
    <xf numFmtId="0" fontId="15" fillId="2" borderId="0" xfId="0" applyFont="1" applyFill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23" borderId="73" xfId="0" applyFont="1" applyFill="1" applyBorder="1" applyAlignment="1">
      <alignment horizontal="right"/>
    </xf>
    <xf numFmtId="0" fontId="15" fillId="2" borderId="26" xfId="0" applyFont="1" applyFill="1" applyBorder="1" applyAlignment="1">
      <alignment horizontal="left"/>
    </xf>
    <xf numFmtId="0" fontId="15" fillId="0" borderId="58" xfId="0" applyFont="1" applyBorder="1" applyAlignment="1">
      <alignment horizontal="right"/>
    </xf>
    <xf numFmtId="164" fontId="5" fillId="23" borderId="16" xfId="1" applyNumberFormat="1" applyFont="1" applyFill="1" applyBorder="1"/>
    <xf numFmtId="0" fontId="15" fillId="0" borderId="12" xfId="0" applyFont="1" applyBorder="1"/>
    <xf numFmtId="0" fontId="15" fillId="0" borderId="8" xfId="0" applyFont="1" applyBorder="1"/>
    <xf numFmtId="0" fontId="3" fillId="0" borderId="8" xfId="0" applyFont="1" applyBorder="1"/>
    <xf numFmtId="0" fontId="0" fillId="0" borderId="12" xfId="0" applyBorder="1"/>
    <xf numFmtId="0" fontId="11" fillId="14" borderId="16" xfId="0" applyFont="1" applyFill="1" applyBorder="1" applyAlignment="1">
      <alignment horizontal="right" wrapText="1"/>
    </xf>
    <xf numFmtId="164" fontId="5" fillId="12" borderId="22" xfId="0" applyNumberFormat="1" applyFont="1" applyFill="1" applyBorder="1"/>
    <xf numFmtId="164" fontId="5" fillId="12" borderId="16" xfId="0" applyNumberFormat="1" applyFont="1" applyFill="1" applyBorder="1"/>
    <xf numFmtId="0" fontId="0" fillId="0" borderId="14" xfId="0" applyBorder="1"/>
    <xf numFmtId="0" fontId="11" fillId="0" borderId="0" xfId="0" applyFont="1" applyBorder="1"/>
    <xf numFmtId="166" fontId="7" fillId="0" borderId="12" xfId="3" applyNumberFormat="1" applyFont="1" applyBorder="1"/>
    <xf numFmtId="0" fontId="11" fillId="24" borderId="0" xfId="0" applyFont="1" applyFill="1"/>
    <xf numFmtId="164" fontId="0" fillId="24" borderId="8" xfId="1" applyNumberFormat="1" applyFont="1" applyFill="1" applyBorder="1"/>
    <xf numFmtId="164" fontId="1" fillId="0" borderId="8" xfId="1" applyNumberFormat="1" applyFont="1" applyFill="1" applyBorder="1"/>
    <xf numFmtId="0" fontId="11" fillId="13" borderId="0" xfId="0" applyFont="1" applyFill="1"/>
    <xf numFmtId="164" fontId="0" fillId="13" borderId="8" xfId="1" applyNumberFormat="1" applyFont="1" applyFill="1" applyBorder="1"/>
    <xf numFmtId="164" fontId="0" fillId="0" borderId="8" xfId="1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11" fillId="0" borderId="0" xfId="0" applyFont="1" applyFill="1"/>
    <xf numFmtId="174" fontId="0" fillId="0" borderId="0" xfId="0" applyNumberFormat="1" applyFont="1"/>
    <xf numFmtId="0" fontId="46" fillId="0" borderId="0" xfId="4" applyNumberFormat="1" applyFont="1" applyBorder="1" applyAlignment="1">
      <alignment horizontal="right" vertical="center" textRotation="90"/>
    </xf>
    <xf numFmtId="0" fontId="52" fillId="10" borderId="27" xfId="5" applyFont="1" applyFill="1" applyBorder="1" applyAlignment="1">
      <alignment horizontal="center"/>
    </xf>
    <xf numFmtId="0" fontId="52" fillId="10" borderId="22" xfId="5" applyFont="1" applyFill="1" applyBorder="1" applyAlignment="1">
      <alignment horizontal="center"/>
    </xf>
    <xf numFmtId="0" fontId="52" fillId="10" borderId="69" xfId="5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textRotation="45"/>
    </xf>
    <xf numFmtId="0" fontId="18" fillId="0" borderId="58" xfId="4" applyFont="1" applyBorder="1" applyAlignment="1">
      <alignment horizontal="center" vertical="center" wrapText="1"/>
    </xf>
    <xf numFmtId="0" fontId="18" fillId="0" borderId="3" xfId="4" applyFont="1" applyBorder="1" applyAlignment="1">
      <alignment horizontal="center" vertical="center" wrapText="1"/>
    </xf>
    <xf numFmtId="0" fontId="18" fillId="0" borderId="25" xfId="4" applyFont="1" applyBorder="1" applyAlignment="1">
      <alignment horizontal="center" vertical="center" wrapText="1"/>
    </xf>
    <xf numFmtId="0" fontId="18" fillId="0" borderId="1" xfId="4" applyFont="1" applyBorder="1" applyAlignment="1">
      <alignment horizontal="center" vertical="center" wrapText="1"/>
    </xf>
    <xf numFmtId="0" fontId="18" fillId="0" borderId="57" xfId="4" applyFont="1" applyBorder="1" applyAlignment="1">
      <alignment horizontal="center" vertical="center" wrapText="1"/>
    </xf>
    <xf numFmtId="0" fontId="18" fillId="0" borderId="56" xfId="4" applyFont="1" applyBorder="1" applyAlignment="1">
      <alignment horizontal="center" vertical="center" wrapText="1"/>
    </xf>
    <xf numFmtId="168" fontId="18" fillId="0" borderId="50" xfId="4" applyNumberFormat="1" applyFont="1" applyFill="1" applyBorder="1" applyAlignment="1">
      <alignment horizontal="center" vertical="center" wrapText="1"/>
    </xf>
    <xf numFmtId="0" fontId="31" fillId="19" borderId="26" xfId="4" applyFont="1" applyFill="1" applyBorder="1" applyAlignment="1">
      <alignment horizontal="left" vertical="center" wrapText="1"/>
    </xf>
    <xf numFmtId="0" fontId="31" fillId="19" borderId="47" xfId="4" applyFont="1" applyFill="1" applyBorder="1" applyAlignment="1">
      <alignment horizontal="left" vertical="center" wrapText="1"/>
    </xf>
    <xf numFmtId="0" fontId="31" fillId="19" borderId="61" xfId="4" applyFont="1" applyFill="1" applyBorder="1" applyAlignment="1">
      <alignment horizontal="left" vertical="center" wrapText="1"/>
    </xf>
    <xf numFmtId="0" fontId="18" fillId="0" borderId="51" xfId="4" applyFont="1" applyFill="1" applyBorder="1" applyAlignment="1">
      <alignment horizontal="left" vertical="center" wrapText="1"/>
    </xf>
    <xf numFmtId="0" fontId="18" fillId="0" borderId="52" xfId="4" applyFont="1" applyFill="1" applyBorder="1" applyAlignment="1">
      <alignment horizontal="left" vertical="center" wrapText="1"/>
    </xf>
    <xf numFmtId="170" fontId="18" fillId="0" borderId="50" xfId="4" applyNumberFormat="1" applyFont="1" applyFill="1" applyBorder="1" applyAlignment="1">
      <alignment horizontal="center" vertical="center" wrapText="1"/>
    </xf>
    <xf numFmtId="170" fontId="18" fillId="0" borderId="51" xfId="4" applyNumberFormat="1" applyFont="1" applyFill="1" applyBorder="1" applyAlignment="1">
      <alignment horizontal="center" vertical="center" wrapText="1"/>
    </xf>
    <xf numFmtId="170" fontId="18" fillId="0" borderId="52" xfId="4" applyNumberFormat="1" applyFont="1" applyFill="1" applyBorder="1" applyAlignment="1">
      <alignment horizontal="center" vertical="center" wrapText="1"/>
    </xf>
    <xf numFmtId="0" fontId="44" fillId="0" borderId="2" xfId="0" applyFont="1" applyBorder="1" applyAlignment="1">
      <alignment horizontal="center"/>
    </xf>
  </cellXfs>
  <cellStyles count="10">
    <cellStyle name="Comma" xfId="1" builtinId="3"/>
    <cellStyle name="Comma 2" xfId="8" xr:uid="{00000000-0005-0000-0000-000001000000}"/>
    <cellStyle name="Currency" xfId="2" builtinId="4"/>
    <cellStyle name="Currency 2" xfId="7" xr:uid="{00000000-0005-0000-0000-000003000000}"/>
    <cellStyle name="Normal" xfId="0" builtinId="0"/>
    <cellStyle name="Normal 2" xfId="4" xr:uid="{00000000-0005-0000-0000-000005000000}"/>
    <cellStyle name="Normal 3" xfId="5" xr:uid="{00000000-0005-0000-0000-000006000000}"/>
    <cellStyle name="Percent" xfId="3" builtinId="5"/>
    <cellStyle name="Percent 2" xfId="6" xr:uid="{00000000-0005-0000-0000-000008000000}"/>
    <cellStyle name="Percent 3" xfId="9" xr:uid="{00000000-0005-0000-0000-000009000000}"/>
  </cellStyles>
  <dxfs count="0"/>
  <tableStyles count="0" defaultTableStyle="TableStyleMedium2" defaultPivotStyle="PivotStyleLight16"/>
  <colors>
    <mruColors>
      <color rgb="FF0000FF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59"/>
  <sheetViews>
    <sheetView topLeftCell="A168" zoomScale="75" zoomScaleNormal="75" workbookViewId="0">
      <selection activeCell="M188" sqref="M188"/>
    </sheetView>
  </sheetViews>
  <sheetFormatPr defaultColWidth="8.77734375" defaultRowHeight="14.4" x14ac:dyDescent="0.3"/>
  <cols>
    <col min="1" max="1" width="8.77734375" style="5"/>
    <col min="2" max="2" width="56.5546875" style="219" customWidth="1"/>
    <col min="3" max="9" width="15.77734375" style="125" customWidth="1"/>
    <col min="10" max="10" width="15.109375" style="240" customWidth="1"/>
    <col min="11" max="11" width="12.21875" style="219" bestFit="1" customWidth="1"/>
    <col min="12" max="12" width="15.6640625" style="219" customWidth="1"/>
    <col min="13" max="13" width="13.33203125" style="219" bestFit="1" customWidth="1"/>
    <col min="14" max="15" width="11.109375" style="219" bestFit="1" customWidth="1"/>
    <col min="16" max="16384" width="8.77734375" style="219"/>
  </cols>
  <sheetData>
    <row r="1" spans="1:16" s="2" customFormat="1" ht="15" thickBot="1" x14ac:dyDescent="0.35">
      <c r="A1" s="1"/>
      <c r="B1" s="3" t="s">
        <v>385</v>
      </c>
      <c r="C1" s="3" t="s">
        <v>386</v>
      </c>
      <c r="D1" s="3" t="s">
        <v>376</v>
      </c>
      <c r="E1" s="3" t="s">
        <v>16</v>
      </c>
      <c r="F1" s="3" t="s">
        <v>49</v>
      </c>
      <c r="G1" s="3" t="s">
        <v>439</v>
      </c>
      <c r="H1" s="3" t="s">
        <v>387</v>
      </c>
      <c r="I1" s="3" t="s">
        <v>158</v>
      </c>
      <c r="J1" s="224"/>
      <c r="K1" s="3">
        <v>7197</v>
      </c>
      <c r="L1" s="241" t="s">
        <v>148</v>
      </c>
    </row>
    <row r="2" spans="1:16" x14ac:dyDescent="0.3">
      <c r="B2" s="6" t="s">
        <v>329</v>
      </c>
      <c r="C2" s="140">
        <v>0</v>
      </c>
      <c r="D2" s="140"/>
      <c r="E2" s="140"/>
      <c r="F2" s="140"/>
      <c r="G2" s="140"/>
      <c r="H2" s="140"/>
      <c r="I2" s="140">
        <f>SUM(C2:H2)</f>
        <v>0</v>
      </c>
      <c r="J2" s="168"/>
      <c r="K2" s="169">
        <f>(D2-K1)/K1</f>
        <v>-1</v>
      </c>
      <c r="L2" s="169" t="e">
        <f>(E2-D2)/D2</f>
        <v>#DIV/0!</v>
      </c>
      <c r="M2" s="169" t="e">
        <f>(F2-E2)/E2</f>
        <v>#DIV/0!</v>
      </c>
      <c r="N2" s="169" t="e">
        <f>(H2-F2)/F2</f>
        <v>#DIV/0!</v>
      </c>
      <c r="O2" s="169" t="e">
        <f>(I2-H2)/H2</f>
        <v>#DIV/0!</v>
      </c>
    </row>
    <row r="3" spans="1:16" x14ac:dyDescent="0.3">
      <c r="B3" s="9"/>
      <c r="C3" s="157"/>
      <c r="D3" s="157"/>
      <c r="E3" s="157"/>
      <c r="F3" s="157"/>
      <c r="G3" s="157"/>
      <c r="H3" s="157"/>
      <c r="I3" s="157"/>
      <c r="J3" s="168"/>
      <c r="K3" s="169"/>
      <c r="L3" s="169"/>
      <c r="M3" s="169"/>
      <c r="N3" s="169"/>
      <c r="O3" s="169"/>
    </row>
    <row r="4" spans="1:16" x14ac:dyDescent="0.3">
      <c r="B4" s="9"/>
      <c r="C4" s="157"/>
      <c r="D4" s="157"/>
      <c r="E4" s="157"/>
      <c r="F4" s="157"/>
      <c r="G4" s="157"/>
      <c r="H4" s="157"/>
      <c r="I4" s="157"/>
      <c r="J4" s="168"/>
      <c r="K4" s="169"/>
      <c r="L4" s="169"/>
      <c r="M4" s="169"/>
      <c r="N4" s="169"/>
      <c r="O4" s="169"/>
    </row>
    <row r="5" spans="1:16" x14ac:dyDescent="0.3">
      <c r="B5" s="9" t="s">
        <v>1</v>
      </c>
      <c r="C5" s="141">
        <f t="shared" ref="C5" si="0">C6+C7+C8+C9+C10+C11+C12+C13+C14+C15+C16+C17+C18</f>
        <v>0</v>
      </c>
      <c r="D5" s="141"/>
      <c r="E5" s="141"/>
      <c r="F5" s="141"/>
      <c r="G5" s="141"/>
      <c r="H5" s="141"/>
      <c r="I5" s="141">
        <f>SUM(C5:H5)</f>
        <v>0</v>
      </c>
      <c r="J5" s="225"/>
    </row>
    <row r="6" spans="1:16" x14ac:dyDescent="0.3">
      <c r="B6" s="12" t="s">
        <v>2</v>
      </c>
      <c r="C6" s="142">
        <v>0</v>
      </c>
      <c r="D6" s="142"/>
      <c r="E6" s="142"/>
      <c r="F6" s="142"/>
      <c r="G6" s="142"/>
      <c r="H6" s="142"/>
      <c r="I6" s="142">
        <f>SUM(C6:H6)</f>
        <v>0</v>
      </c>
      <c r="J6" s="225"/>
      <c r="K6" s="166">
        <f t="shared" ref="K6:K11" si="1">D6/26</f>
        <v>0</v>
      </c>
      <c r="L6" s="166">
        <f t="shared" ref="L6:M9" si="2">E6/28</f>
        <v>0</v>
      </c>
      <c r="M6" s="166">
        <f t="shared" si="2"/>
        <v>0</v>
      </c>
      <c r="N6" s="166">
        <f t="shared" ref="N6:O9" si="3">H6/28</f>
        <v>0</v>
      </c>
      <c r="O6" s="166">
        <f t="shared" si="3"/>
        <v>0</v>
      </c>
      <c r="P6" s="166"/>
    </row>
    <row r="7" spans="1:16" x14ac:dyDescent="0.3">
      <c r="B7" s="15" t="s">
        <v>3</v>
      </c>
      <c r="C7" s="142">
        <v>0</v>
      </c>
      <c r="D7" s="142"/>
      <c r="E7" s="142"/>
      <c r="F7" s="142"/>
      <c r="G7" s="142"/>
      <c r="H7" s="142"/>
      <c r="I7" s="142">
        <f t="shared" ref="I7:I18" si="4">SUM(C7:H7)</f>
        <v>0</v>
      </c>
      <c r="J7" s="225"/>
      <c r="K7" s="166">
        <f t="shared" si="1"/>
        <v>0</v>
      </c>
      <c r="L7" s="166">
        <f t="shared" si="2"/>
        <v>0</v>
      </c>
      <c r="M7" s="166">
        <f t="shared" si="2"/>
        <v>0</v>
      </c>
      <c r="N7" s="166">
        <f t="shared" si="3"/>
        <v>0</v>
      </c>
      <c r="O7" s="166">
        <f t="shared" si="3"/>
        <v>0</v>
      </c>
      <c r="P7" s="166"/>
    </row>
    <row r="8" spans="1:16" x14ac:dyDescent="0.3">
      <c r="B8" s="15" t="s">
        <v>4</v>
      </c>
      <c r="C8" s="142">
        <v>0</v>
      </c>
      <c r="D8" s="142"/>
      <c r="E8" s="142"/>
      <c r="F8" s="142"/>
      <c r="G8" s="142"/>
      <c r="H8" s="142"/>
      <c r="I8" s="142">
        <f t="shared" si="4"/>
        <v>0</v>
      </c>
      <c r="J8" s="225"/>
      <c r="K8" s="166">
        <f t="shared" si="1"/>
        <v>0</v>
      </c>
      <c r="L8" s="166">
        <f t="shared" si="2"/>
        <v>0</v>
      </c>
      <c r="M8" s="166">
        <f t="shared" si="2"/>
        <v>0</v>
      </c>
      <c r="N8" s="166">
        <f t="shared" si="3"/>
        <v>0</v>
      </c>
      <c r="O8" s="166">
        <f t="shared" si="3"/>
        <v>0</v>
      </c>
      <c r="P8" s="166"/>
    </row>
    <row r="9" spans="1:16" x14ac:dyDescent="0.3">
      <c r="B9" s="16" t="s">
        <v>5</v>
      </c>
      <c r="C9" s="142">
        <v>0</v>
      </c>
      <c r="D9" s="142"/>
      <c r="E9" s="142"/>
      <c r="F9" s="142"/>
      <c r="G9" s="142"/>
      <c r="H9" s="142"/>
      <c r="I9" s="142">
        <f t="shared" si="4"/>
        <v>0</v>
      </c>
      <c r="J9" s="225"/>
      <c r="K9" s="166">
        <f t="shared" si="1"/>
        <v>0</v>
      </c>
      <c r="L9" s="166">
        <f t="shared" si="2"/>
        <v>0</v>
      </c>
      <c r="M9" s="166">
        <f t="shared" si="2"/>
        <v>0</v>
      </c>
      <c r="N9" s="166">
        <f t="shared" si="3"/>
        <v>0</v>
      </c>
      <c r="O9" s="166">
        <f t="shared" si="3"/>
        <v>0</v>
      </c>
      <c r="P9" s="166"/>
    </row>
    <row r="10" spans="1:16" x14ac:dyDescent="0.3">
      <c r="B10" s="16" t="s">
        <v>6</v>
      </c>
      <c r="C10" s="142">
        <v>0</v>
      </c>
      <c r="D10" s="142"/>
      <c r="E10" s="142"/>
      <c r="F10" s="142"/>
      <c r="G10" s="142"/>
      <c r="H10" s="142"/>
      <c r="I10" s="142">
        <f t="shared" si="4"/>
        <v>0</v>
      </c>
      <c r="J10" s="225"/>
      <c r="K10" s="166">
        <f t="shared" si="1"/>
        <v>0</v>
      </c>
      <c r="L10" s="166">
        <f>E10/26</f>
        <v>0</v>
      </c>
      <c r="M10" s="166">
        <f>F10/28</f>
        <v>0</v>
      </c>
      <c r="N10" s="166">
        <f>H10/28</f>
        <v>0</v>
      </c>
      <c r="O10" s="166">
        <f>I10/28</f>
        <v>0</v>
      </c>
      <c r="P10" s="166"/>
    </row>
    <row r="11" spans="1:16" x14ac:dyDescent="0.3">
      <c r="B11" s="16" t="s">
        <v>7</v>
      </c>
      <c r="C11" s="142">
        <v>0</v>
      </c>
      <c r="D11" s="142"/>
      <c r="E11" s="142"/>
      <c r="F11" s="142"/>
      <c r="G11" s="142"/>
      <c r="H11" s="142"/>
      <c r="I11" s="142">
        <f t="shared" si="4"/>
        <v>0</v>
      </c>
      <c r="J11" s="225"/>
      <c r="K11" s="166">
        <f t="shared" si="1"/>
        <v>0</v>
      </c>
      <c r="L11" s="166">
        <f>E11/26</f>
        <v>0</v>
      </c>
      <c r="M11" s="166">
        <f>F11/26</f>
        <v>0</v>
      </c>
      <c r="N11" s="166">
        <f>H11/28</f>
        <v>0</v>
      </c>
      <c r="O11" s="166">
        <f>I11/28</f>
        <v>0</v>
      </c>
      <c r="P11" s="166"/>
    </row>
    <row r="12" spans="1:16" x14ac:dyDescent="0.3">
      <c r="B12" s="16" t="s">
        <v>8</v>
      </c>
      <c r="C12" s="143">
        <v>0</v>
      </c>
      <c r="D12" s="143"/>
      <c r="E12" s="143"/>
      <c r="F12" s="143"/>
      <c r="G12" s="143"/>
      <c r="H12" s="143"/>
      <c r="I12" s="142">
        <f t="shared" si="4"/>
        <v>0</v>
      </c>
      <c r="J12" s="225"/>
      <c r="K12" s="166">
        <f t="shared" ref="K12:L14" si="5">D12/28</f>
        <v>0</v>
      </c>
      <c r="L12" s="166">
        <f t="shared" si="5"/>
        <v>0</v>
      </c>
      <c r="M12" s="166">
        <f>F12/30</f>
        <v>0</v>
      </c>
      <c r="N12" s="166">
        <f t="shared" ref="N12:O13" si="6">H12/30</f>
        <v>0</v>
      </c>
      <c r="O12" s="166">
        <f t="shared" si="6"/>
        <v>0</v>
      </c>
      <c r="P12" s="166"/>
    </row>
    <row r="13" spans="1:16" x14ac:dyDescent="0.3">
      <c r="B13" s="16" t="s">
        <v>9</v>
      </c>
      <c r="C13" s="143">
        <v>0</v>
      </c>
      <c r="D13" s="143"/>
      <c r="E13" s="143"/>
      <c r="F13" s="143"/>
      <c r="G13" s="143"/>
      <c r="H13" s="143"/>
      <c r="I13" s="142">
        <f t="shared" si="4"/>
        <v>0</v>
      </c>
      <c r="J13" s="225"/>
      <c r="K13" s="166">
        <f t="shared" si="5"/>
        <v>0</v>
      </c>
      <c r="L13" s="166">
        <f t="shared" si="5"/>
        <v>0</v>
      </c>
      <c r="M13" s="166">
        <f>F13/30</f>
        <v>0</v>
      </c>
      <c r="N13" s="166">
        <f t="shared" si="6"/>
        <v>0</v>
      </c>
      <c r="O13" s="166">
        <f t="shared" si="6"/>
        <v>0</v>
      </c>
      <c r="P13" s="166"/>
    </row>
    <row r="14" spans="1:16" x14ac:dyDescent="0.3">
      <c r="B14" s="16" t="s">
        <v>10</v>
      </c>
      <c r="C14" s="143">
        <v>0</v>
      </c>
      <c r="D14" s="143"/>
      <c r="E14" s="143"/>
      <c r="F14" s="143"/>
      <c r="G14" s="143"/>
      <c r="H14" s="143"/>
      <c r="I14" s="142">
        <f t="shared" si="4"/>
        <v>0</v>
      </c>
      <c r="J14" s="225"/>
      <c r="K14" s="166">
        <f t="shared" si="5"/>
        <v>0</v>
      </c>
      <c r="L14" s="166">
        <f t="shared" si="5"/>
        <v>0</v>
      </c>
      <c r="M14" s="166">
        <f>F14/28</f>
        <v>0</v>
      </c>
      <c r="N14" s="166">
        <f>H14/30</f>
        <v>0</v>
      </c>
      <c r="O14" s="166">
        <f>I14/30</f>
        <v>0</v>
      </c>
      <c r="P14" s="166"/>
    </row>
    <row r="15" spans="1:16" x14ac:dyDescent="0.3">
      <c r="B15" s="16" t="s">
        <v>11</v>
      </c>
      <c r="C15" s="143">
        <v>0</v>
      </c>
      <c r="D15" s="143"/>
      <c r="E15" s="143"/>
      <c r="F15" s="143"/>
      <c r="G15" s="143"/>
      <c r="H15" s="143"/>
      <c r="I15" s="142">
        <f t="shared" si="4"/>
        <v>0</v>
      </c>
      <c r="J15" s="225"/>
      <c r="K15" s="166">
        <f>D15/26.66666</f>
        <v>0</v>
      </c>
      <c r="L15" s="166">
        <f>E15/30</f>
        <v>0</v>
      </c>
      <c r="M15" s="166">
        <f>F15/31</f>
        <v>0</v>
      </c>
      <c r="N15" s="166">
        <f>H15/31</f>
        <v>0</v>
      </c>
      <c r="O15" s="166">
        <f>I15/31</f>
        <v>0</v>
      </c>
    </row>
    <row r="16" spans="1:16" x14ac:dyDescent="0.3">
      <c r="B16" s="16" t="s">
        <v>12</v>
      </c>
      <c r="C16" s="143">
        <v>0</v>
      </c>
      <c r="D16" s="143"/>
      <c r="E16" s="143"/>
      <c r="F16" s="143"/>
      <c r="G16" s="143"/>
      <c r="H16" s="143"/>
      <c r="I16" s="142">
        <f t="shared" si="4"/>
        <v>0</v>
      </c>
      <c r="J16" s="225"/>
      <c r="K16" s="166">
        <f>D16/26.66666</f>
        <v>0</v>
      </c>
      <c r="L16" s="166">
        <f>E16/30</f>
        <v>0</v>
      </c>
      <c r="M16" s="166">
        <f>F16/30</f>
        <v>0</v>
      </c>
      <c r="N16" s="166">
        <f>H16/31</f>
        <v>0</v>
      </c>
      <c r="O16" s="166">
        <f>I16/31</f>
        <v>0</v>
      </c>
    </row>
    <row r="17" spans="1:15" x14ac:dyDescent="0.3">
      <c r="B17" s="16" t="s">
        <v>13</v>
      </c>
      <c r="C17" s="143">
        <v>0</v>
      </c>
      <c r="D17" s="143"/>
      <c r="E17" s="143"/>
      <c r="F17" s="143"/>
      <c r="G17" s="143"/>
      <c r="H17" s="143"/>
      <c r="I17" s="142">
        <f t="shared" si="4"/>
        <v>0</v>
      </c>
      <c r="J17" s="225"/>
      <c r="K17" s="166">
        <f>D17/26.66666</f>
        <v>0</v>
      </c>
      <c r="L17" s="166">
        <f>E17/26.66666</f>
        <v>0</v>
      </c>
      <c r="M17" s="166">
        <f>F17/30</f>
        <v>0</v>
      </c>
      <c r="N17" s="166">
        <f>H17/30</f>
        <v>0</v>
      </c>
      <c r="O17" s="166">
        <f>I17/31</f>
        <v>0</v>
      </c>
    </row>
    <row r="18" spans="1:15" x14ac:dyDescent="0.3">
      <c r="B18" s="16" t="s">
        <v>14</v>
      </c>
      <c r="C18" s="143">
        <v>0</v>
      </c>
      <c r="D18" s="143"/>
      <c r="E18" s="143"/>
      <c r="F18" s="143"/>
      <c r="G18" s="143"/>
      <c r="H18" s="143"/>
      <c r="I18" s="142">
        <f t="shared" si="4"/>
        <v>0</v>
      </c>
      <c r="J18" s="225"/>
      <c r="K18" s="166">
        <f>D18/26.66666</f>
        <v>0</v>
      </c>
      <c r="L18" s="166">
        <f>E18/26.66666</f>
        <v>0</v>
      </c>
      <c r="M18" s="166">
        <f>F18/30</f>
        <v>0</v>
      </c>
      <c r="N18" s="166">
        <f>H18/30</f>
        <v>0</v>
      </c>
      <c r="O18" s="166">
        <f>I18/30</f>
        <v>0</v>
      </c>
    </row>
    <row r="19" spans="1:15" x14ac:dyDescent="0.3">
      <c r="B19" s="16" t="s">
        <v>1</v>
      </c>
      <c r="C19" s="141">
        <f t="shared" ref="C19:H19" si="7">SUM(C6:C18)</f>
        <v>0</v>
      </c>
      <c r="D19" s="141">
        <f t="shared" si="7"/>
        <v>0</v>
      </c>
      <c r="E19" s="141">
        <f t="shared" si="7"/>
        <v>0</v>
      </c>
      <c r="F19" s="141">
        <f t="shared" si="7"/>
        <v>0</v>
      </c>
      <c r="G19" s="141"/>
      <c r="H19" s="141">
        <f t="shared" si="7"/>
        <v>0</v>
      </c>
      <c r="I19" s="141">
        <f>SUM(I6:I18)</f>
        <v>0</v>
      </c>
      <c r="J19" s="225"/>
      <c r="K19" s="220">
        <f t="shared" ref="K19:O19" si="8">SUM(K6:K18)</f>
        <v>0</v>
      </c>
      <c r="L19" s="220">
        <f t="shared" si="8"/>
        <v>0</v>
      </c>
      <c r="M19" s="220">
        <f t="shared" si="8"/>
        <v>0</v>
      </c>
      <c r="N19" s="220">
        <f t="shared" si="8"/>
        <v>0</v>
      </c>
      <c r="O19" s="220">
        <f t="shared" si="8"/>
        <v>0</v>
      </c>
    </row>
    <row r="20" spans="1:15" x14ac:dyDescent="0.3">
      <c r="B20" s="17"/>
      <c r="C20" s="143"/>
      <c r="D20" s="143"/>
      <c r="E20" s="366"/>
      <c r="F20" s="366"/>
      <c r="G20" s="366"/>
      <c r="H20" s="366"/>
      <c r="I20" s="366"/>
      <c r="J20" s="226"/>
      <c r="K20" s="219" t="b">
        <f>ROUND(K19,0)=ROUND(D29,0)</f>
        <v>1</v>
      </c>
      <c r="L20" s="219" t="b">
        <f>ROUND(L19,0)=ROUND(E29,0)</f>
        <v>1</v>
      </c>
      <c r="M20" s="219" t="b">
        <f>ROUND(M19,0)=ROUND(F29,0)</f>
        <v>1</v>
      </c>
      <c r="N20" s="219" t="b">
        <f>ROUND(N19,0)=ROUND(H29,0)</f>
        <v>1</v>
      </c>
      <c r="O20" s="219" t="b">
        <f>ROUND(O19,0)=ROUND(I29,0)</f>
        <v>1</v>
      </c>
    </row>
    <row r="21" spans="1:15" x14ac:dyDescent="0.3">
      <c r="B21" s="19" t="s">
        <v>15</v>
      </c>
      <c r="C21" s="144"/>
      <c r="D21" s="144"/>
      <c r="E21" s="144"/>
      <c r="F21" s="144"/>
      <c r="G21" s="144"/>
      <c r="H21" s="144"/>
      <c r="I21" s="144"/>
      <c r="J21" s="226"/>
    </row>
    <row r="22" spans="1:15" x14ac:dyDescent="0.3">
      <c r="B22" s="411" t="s">
        <v>336</v>
      </c>
      <c r="C22" s="143"/>
      <c r="D22" s="143"/>
      <c r="E22" s="143"/>
      <c r="F22" s="143"/>
      <c r="G22" s="143"/>
      <c r="H22" s="143"/>
      <c r="I22" s="143">
        <f>SUM(C22:H22)</f>
        <v>0</v>
      </c>
      <c r="J22" s="227"/>
      <c r="K22" s="221">
        <f>D22/21</f>
        <v>0</v>
      </c>
      <c r="L22" s="221">
        <f>E22/21</f>
        <v>0</v>
      </c>
      <c r="M22" s="221">
        <f>F22/21</f>
        <v>0</v>
      </c>
      <c r="N22" s="221">
        <f>H22/21</f>
        <v>0</v>
      </c>
      <c r="O22" s="221">
        <f>I22/21</f>
        <v>0</v>
      </c>
    </row>
    <row r="23" spans="1:15" x14ac:dyDescent="0.3">
      <c r="B23" s="411" t="s">
        <v>418</v>
      </c>
      <c r="C23" s="218"/>
      <c r="D23" s="143"/>
      <c r="E23" s="143"/>
      <c r="F23" s="143"/>
      <c r="G23" s="143"/>
      <c r="H23" s="143"/>
      <c r="I23" s="143">
        <f>SUM(C23:H23)</f>
        <v>0</v>
      </c>
      <c r="J23" s="227"/>
      <c r="K23" s="244">
        <f>D30-K22</f>
        <v>0</v>
      </c>
      <c r="L23" s="244">
        <f>E30-L22</f>
        <v>0</v>
      </c>
      <c r="M23" s="244">
        <f>F30-M22</f>
        <v>0</v>
      </c>
      <c r="N23" s="244">
        <f>H30-N22</f>
        <v>0</v>
      </c>
      <c r="O23" s="244">
        <f>I30-O22</f>
        <v>0</v>
      </c>
    </row>
    <row r="24" spans="1:15" x14ac:dyDescent="0.3">
      <c r="B24" s="411" t="s">
        <v>337</v>
      </c>
      <c r="C24" s="145"/>
      <c r="D24" s="145"/>
      <c r="E24" s="145"/>
      <c r="F24" s="145"/>
      <c r="G24" s="145"/>
      <c r="H24" s="145"/>
      <c r="I24" s="143">
        <f>SUM(C24:H24)</f>
        <v>0</v>
      </c>
      <c r="J24" s="226"/>
    </row>
    <row r="25" spans="1:15" x14ac:dyDescent="0.3">
      <c r="B25" s="411" t="s">
        <v>17</v>
      </c>
      <c r="C25" s="145"/>
      <c r="D25" s="412"/>
      <c r="E25" s="412"/>
      <c r="F25" s="412"/>
      <c r="G25" s="412"/>
      <c r="H25" s="412"/>
      <c r="I25" s="412">
        <f>SUM(C25:H25)</f>
        <v>0</v>
      </c>
      <c r="J25" s="226"/>
    </row>
    <row r="26" spans="1:15" x14ac:dyDescent="0.3">
      <c r="B26" s="411" t="s">
        <v>338</v>
      </c>
      <c r="C26" s="146"/>
      <c r="D26" s="143"/>
      <c r="E26" s="143"/>
      <c r="F26" s="143"/>
      <c r="G26" s="143"/>
      <c r="H26" s="143"/>
      <c r="I26" s="143">
        <f>SUM(C26:H26)</f>
        <v>0</v>
      </c>
      <c r="J26" s="228"/>
    </row>
    <row r="27" spans="1:15" x14ac:dyDescent="0.3">
      <c r="B27" s="24"/>
      <c r="C27" s="143"/>
      <c r="D27" s="143"/>
      <c r="E27" s="143"/>
      <c r="F27" s="143"/>
      <c r="G27" s="143"/>
      <c r="H27" s="143"/>
      <c r="I27" s="143"/>
      <c r="J27" s="226"/>
    </row>
    <row r="28" spans="1:15" x14ac:dyDescent="0.3">
      <c r="B28" s="19" t="s">
        <v>18</v>
      </c>
      <c r="C28" s="144"/>
      <c r="D28" s="144"/>
      <c r="E28" s="144"/>
      <c r="F28" s="144"/>
      <c r="G28" s="144"/>
      <c r="H28" s="144"/>
      <c r="I28" s="144"/>
      <c r="J28" s="226"/>
      <c r="K28" s="221"/>
    </row>
    <row r="29" spans="1:15" x14ac:dyDescent="0.3">
      <c r="B29" s="25" t="s">
        <v>19</v>
      </c>
      <c r="C29" s="147">
        <f>SUM(C6:C11)/26+SUM(C12:C18)/30</f>
        <v>0</v>
      </c>
      <c r="D29" s="147"/>
      <c r="E29" s="147"/>
      <c r="F29" s="147"/>
      <c r="G29" s="489"/>
      <c r="H29" s="147"/>
      <c r="I29" s="147">
        <f>SUM(C29:H29)</f>
        <v>0</v>
      </c>
      <c r="J29" s="227"/>
    </row>
    <row r="30" spans="1:15" s="222" customFormat="1" x14ac:dyDescent="0.3">
      <c r="A30" s="27"/>
      <c r="B30" s="25" t="s">
        <v>20</v>
      </c>
      <c r="C30" s="148">
        <v>0</v>
      </c>
      <c r="D30" s="148"/>
      <c r="E30" s="148"/>
      <c r="F30" s="148"/>
      <c r="G30" s="490"/>
      <c r="H30" s="148"/>
      <c r="I30" s="147">
        <f t="shared" ref="I30:I36" si="9">SUM(C30:H30)</f>
        <v>0</v>
      </c>
      <c r="J30" s="229"/>
    </row>
    <row r="31" spans="1:15" x14ac:dyDescent="0.3">
      <c r="B31" s="25" t="s">
        <v>21</v>
      </c>
      <c r="C31" s="147">
        <v>0</v>
      </c>
      <c r="D31" s="147"/>
      <c r="E31" s="147"/>
      <c r="F31" s="147"/>
      <c r="G31" s="489"/>
      <c r="H31" s="147"/>
      <c r="I31" s="147">
        <f t="shared" si="9"/>
        <v>0</v>
      </c>
      <c r="J31" s="226"/>
    </row>
    <row r="32" spans="1:15" x14ac:dyDescent="0.3">
      <c r="B32" s="25" t="s">
        <v>22</v>
      </c>
      <c r="C32" s="147">
        <v>0</v>
      </c>
      <c r="D32" s="147"/>
      <c r="E32" s="147"/>
      <c r="F32" s="147"/>
      <c r="G32" s="489"/>
      <c r="H32" s="147"/>
      <c r="I32" s="147">
        <f t="shared" si="9"/>
        <v>0</v>
      </c>
      <c r="J32" s="226"/>
    </row>
    <row r="33" spans="2:11" x14ac:dyDescent="0.3">
      <c r="B33" s="25" t="s">
        <v>23</v>
      </c>
      <c r="C33" s="147">
        <v>0</v>
      </c>
      <c r="D33" s="147"/>
      <c r="E33" s="147"/>
      <c r="F33" s="147"/>
      <c r="G33" s="489"/>
      <c r="H33" s="147"/>
      <c r="I33" s="147">
        <f t="shared" si="9"/>
        <v>0</v>
      </c>
      <c r="J33" s="225"/>
    </row>
    <row r="34" spans="2:11" x14ac:dyDescent="0.3">
      <c r="B34" s="30" t="s">
        <v>24</v>
      </c>
      <c r="C34" s="147">
        <v>0</v>
      </c>
      <c r="D34" s="147"/>
      <c r="E34" s="147"/>
      <c r="F34" s="147"/>
      <c r="G34" s="489"/>
      <c r="H34" s="147"/>
      <c r="I34" s="147">
        <f t="shared" si="9"/>
        <v>0</v>
      </c>
      <c r="J34" s="225"/>
    </row>
    <row r="35" spans="2:11" x14ac:dyDescent="0.3">
      <c r="B35" s="30" t="s">
        <v>25</v>
      </c>
      <c r="C35" s="147">
        <v>0</v>
      </c>
      <c r="D35" s="147"/>
      <c r="E35" s="147"/>
      <c r="F35" s="147"/>
      <c r="G35" s="489"/>
      <c r="H35" s="147"/>
      <c r="I35" s="147">
        <f t="shared" si="9"/>
        <v>0</v>
      </c>
      <c r="J35" s="225"/>
    </row>
    <row r="36" spans="2:11" x14ac:dyDescent="0.3">
      <c r="B36" s="30" t="s">
        <v>26</v>
      </c>
      <c r="C36" s="147">
        <v>0</v>
      </c>
      <c r="D36" s="147"/>
      <c r="E36" s="147"/>
      <c r="F36" s="147"/>
      <c r="G36" s="489"/>
      <c r="H36" s="147"/>
      <c r="I36" s="147">
        <f t="shared" si="9"/>
        <v>0</v>
      </c>
      <c r="J36" s="225"/>
    </row>
    <row r="37" spans="2:11" x14ac:dyDescent="0.3">
      <c r="B37" s="31" t="s">
        <v>27</v>
      </c>
      <c r="C37" s="149">
        <f t="shared" ref="C37:I37" si="10">SUM(C29:C36)</f>
        <v>0</v>
      </c>
      <c r="D37" s="149">
        <f t="shared" si="10"/>
        <v>0</v>
      </c>
      <c r="E37" s="149">
        <f t="shared" si="10"/>
        <v>0</v>
      </c>
      <c r="F37" s="149">
        <f t="shared" si="10"/>
        <v>0</v>
      </c>
      <c r="G37" s="492">
        <f t="shared" ref="G37" si="11">SUM(G29:G36)</f>
        <v>0</v>
      </c>
      <c r="H37" s="149">
        <f t="shared" si="10"/>
        <v>0</v>
      </c>
      <c r="I37" s="149">
        <f t="shared" si="10"/>
        <v>0</v>
      </c>
      <c r="J37" s="231"/>
      <c r="K37" s="221"/>
    </row>
    <row r="38" spans="2:11" x14ac:dyDescent="0.3">
      <c r="B38" s="33"/>
      <c r="C38" s="143"/>
      <c r="D38" s="143"/>
      <c r="E38" s="143"/>
      <c r="F38" s="143"/>
      <c r="G38" s="143"/>
      <c r="H38" s="143"/>
      <c r="I38" s="143"/>
      <c r="J38" s="225"/>
    </row>
    <row r="39" spans="2:11" x14ac:dyDescent="0.3">
      <c r="B39" s="19" t="s">
        <v>28</v>
      </c>
      <c r="C39" s="150" t="str">
        <f t="shared" ref="C39:I39" si="12">C1</f>
        <v>Operating</v>
      </c>
      <c r="D39" s="150" t="str">
        <f t="shared" si="12"/>
        <v>Weights</v>
      </c>
      <c r="E39" s="150" t="str">
        <f t="shared" si="12"/>
        <v>SPED</v>
      </c>
      <c r="F39" s="150" t="str">
        <f t="shared" si="12"/>
        <v>NSLP</v>
      </c>
      <c r="G39" s="150" t="str">
        <f t="shared" si="12"/>
        <v>CSP</v>
      </c>
      <c r="H39" s="150" t="str">
        <f t="shared" si="12"/>
        <v>Title</v>
      </c>
      <c r="I39" s="150" t="str">
        <f t="shared" si="12"/>
        <v>Total</v>
      </c>
      <c r="J39" s="230"/>
    </row>
    <row r="40" spans="2:11" hidden="1" x14ac:dyDescent="0.3">
      <c r="B40" s="25" t="s">
        <v>29</v>
      </c>
      <c r="C40" s="151">
        <v>0</v>
      </c>
      <c r="D40" s="151">
        <v>0</v>
      </c>
      <c r="E40" s="151">
        <v>0</v>
      </c>
      <c r="F40" s="151">
        <v>0</v>
      </c>
      <c r="G40" s="151"/>
      <c r="H40" s="151">
        <v>0</v>
      </c>
      <c r="I40" s="151">
        <v>0</v>
      </c>
      <c r="J40" s="225"/>
    </row>
    <row r="41" spans="2:11" x14ac:dyDescent="0.3">
      <c r="B41" s="25" t="s">
        <v>30</v>
      </c>
      <c r="C41" s="151">
        <v>1</v>
      </c>
      <c r="D41" s="147"/>
      <c r="E41" s="147"/>
      <c r="F41" s="147"/>
      <c r="G41" s="489"/>
      <c r="H41" s="147"/>
      <c r="I41" s="147">
        <f>SUM(C41:H41)</f>
        <v>1</v>
      </c>
      <c r="J41" s="225"/>
    </row>
    <row r="42" spans="2:11" x14ac:dyDescent="0.3">
      <c r="B42" s="25" t="s">
        <v>31</v>
      </c>
      <c r="C42" s="151">
        <v>0</v>
      </c>
      <c r="D42" s="147"/>
      <c r="E42" s="147"/>
      <c r="F42" s="147"/>
      <c r="G42" s="489"/>
      <c r="H42" s="147"/>
      <c r="I42" s="147">
        <f t="shared" ref="I42:I59" si="13">SUM(C42:H42)</f>
        <v>0</v>
      </c>
      <c r="J42" s="225"/>
    </row>
    <row r="43" spans="2:11" x14ac:dyDescent="0.3">
      <c r="B43" s="25" t="s">
        <v>413</v>
      </c>
      <c r="C43" s="151">
        <v>1</v>
      </c>
      <c r="D43" s="147"/>
      <c r="E43" s="147"/>
      <c r="F43" s="147"/>
      <c r="G43" s="489">
        <v>0</v>
      </c>
      <c r="H43" s="147"/>
      <c r="I43" s="147">
        <f t="shared" si="13"/>
        <v>1</v>
      </c>
      <c r="J43" s="225"/>
    </row>
    <row r="44" spans="2:11" x14ac:dyDescent="0.3">
      <c r="B44" s="36" t="s">
        <v>412</v>
      </c>
      <c r="C44" s="151">
        <v>0</v>
      </c>
      <c r="D44" s="147"/>
      <c r="E44" s="147"/>
      <c r="F44" s="147"/>
      <c r="G44" s="489">
        <v>0</v>
      </c>
      <c r="H44" s="147"/>
      <c r="I44" s="147">
        <f t="shared" si="13"/>
        <v>0</v>
      </c>
      <c r="J44" s="225"/>
    </row>
    <row r="45" spans="2:11" x14ac:dyDescent="0.3">
      <c r="B45" s="36" t="s">
        <v>415</v>
      </c>
      <c r="C45" s="151">
        <v>1</v>
      </c>
      <c r="D45" s="147"/>
      <c r="E45" s="147"/>
      <c r="F45" s="147"/>
      <c r="G45" s="489">
        <v>0</v>
      </c>
      <c r="H45" s="147"/>
      <c r="I45" s="147">
        <f t="shared" si="13"/>
        <v>1</v>
      </c>
      <c r="J45" s="225"/>
    </row>
    <row r="46" spans="2:11" x14ac:dyDescent="0.3">
      <c r="B46" s="25" t="s">
        <v>32</v>
      </c>
      <c r="C46" s="151">
        <v>0</v>
      </c>
      <c r="D46" s="147"/>
      <c r="E46" s="147"/>
      <c r="F46" s="147"/>
      <c r="G46" s="489">
        <v>1</v>
      </c>
      <c r="H46" s="147"/>
      <c r="I46" s="147">
        <f t="shared" si="13"/>
        <v>1</v>
      </c>
      <c r="J46" s="225"/>
    </row>
    <row r="47" spans="2:11" x14ac:dyDescent="0.3">
      <c r="B47" s="25" t="s">
        <v>33</v>
      </c>
      <c r="C47" s="151">
        <v>0</v>
      </c>
      <c r="D47" s="147"/>
      <c r="E47" s="147"/>
      <c r="F47" s="147"/>
      <c r="G47" s="489"/>
      <c r="H47" s="147"/>
      <c r="I47" s="147">
        <f t="shared" si="13"/>
        <v>0</v>
      </c>
      <c r="J47" s="225"/>
    </row>
    <row r="48" spans="2:11" x14ac:dyDescent="0.3">
      <c r="B48" s="25" t="s">
        <v>34</v>
      </c>
      <c r="C48" s="151">
        <v>0</v>
      </c>
      <c r="D48" s="147"/>
      <c r="E48" s="147"/>
      <c r="F48" s="147"/>
      <c r="G48" s="489"/>
      <c r="H48" s="147"/>
      <c r="I48" s="147">
        <f t="shared" si="13"/>
        <v>0</v>
      </c>
      <c r="J48" s="225"/>
    </row>
    <row r="49" spans="2:15" x14ac:dyDescent="0.3">
      <c r="B49" s="25" t="s">
        <v>35</v>
      </c>
      <c r="C49" s="151">
        <v>0</v>
      </c>
      <c r="D49" s="147"/>
      <c r="E49" s="147"/>
      <c r="F49" s="147"/>
      <c r="G49" s="489"/>
      <c r="H49" s="147"/>
      <c r="I49" s="147">
        <f t="shared" si="13"/>
        <v>0</v>
      </c>
      <c r="J49" s="225"/>
    </row>
    <row r="50" spans="2:15" x14ac:dyDescent="0.3">
      <c r="B50" s="25" t="s">
        <v>427</v>
      </c>
      <c r="C50" s="151">
        <v>0</v>
      </c>
      <c r="D50" s="147"/>
      <c r="E50" s="147"/>
      <c r="F50" s="147"/>
      <c r="G50" s="489"/>
      <c r="H50" s="147"/>
      <c r="I50" s="147">
        <f t="shared" si="13"/>
        <v>0</v>
      </c>
      <c r="J50" s="225"/>
      <c r="K50" s="221">
        <f>D29+D50</f>
        <v>0</v>
      </c>
      <c r="L50" s="221">
        <f>E29+E50</f>
        <v>0</v>
      </c>
      <c r="M50" s="221">
        <f>F29+F50</f>
        <v>0</v>
      </c>
      <c r="N50" s="221">
        <f>H29+H50</f>
        <v>0</v>
      </c>
      <c r="O50" s="221">
        <f>I29+I50</f>
        <v>0</v>
      </c>
    </row>
    <row r="51" spans="2:15" x14ac:dyDescent="0.3">
      <c r="B51" s="488" t="s">
        <v>458</v>
      </c>
      <c r="C51" s="151">
        <v>1</v>
      </c>
      <c r="D51" s="147"/>
      <c r="E51" s="147"/>
      <c r="F51" s="147"/>
      <c r="G51" s="489"/>
      <c r="H51" s="147"/>
      <c r="I51" s="147">
        <f t="shared" si="13"/>
        <v>1</v>
      </c>
      <c r="J51" s="225"/>
    </row>
    <row r="52" spans="2:15" x14ac:dyDescent="0.3">
      <c r="B52" s="25" t="s">
        <v>414</v>
      </c>
      <c r="C52" s="151">
        <v>0</v>
      </c>
      <c r="D52" s="147"/>
      <c r="E52" s="147"/>
      <c r="F52" s="147"/>
      <c r="G52" s="489"/>
      <c r="H52" s="147"/>
      <c r="I52" s="147">
        <f t="shared" si="13"/>
        <v>0</v>
      </c>
      <c r="J52" s="225"/>
    </row>
    <row r="53" spans="2:15" x14ac:dyDescent="0.3">
      <c r="B53" s="37" t="s">
        <v>37</v>
      </c>
      <c r="C53" s="151">
        <v>0</v>
      </c>
      <c r="D53" s="147"/>
      <c r="E53" s="147"/>
      <c r="F53" s="147"/>
      <c r="G53" s="489"/>
      <c r="H53" s="147"/>
      <c r="I53" s="147">
        <f t="shared" si="13"/>
        <v>0</v>
      </c>
      <c r="J53" s="225"/>
    </row>
    <row r="54" spans="2:15" x14ac:dyDescent="0.3">
      <c r="B54" s="37" t="s">
        <v>38</v>
      </c>
      <c r="C54" s="151">
        <v>0</v>
      </c>
      <c r="D54" s="147"/>
      <c r="E54" s="147"/>
      <c r="F54" s="147"/>
      <c r="G54" s="489"/>
      <c r="H54" s="147"/>
      <c r="I54" s="147">
        <f t="shared" si="13"/>
        <v>0</v>
      </c>
      <c r="J54" s="225"/>
    </row>
    <row r="55" spans="2:15" x14ac:dyDescent="0.3">
      <c r="B55" s="37" t="s">
        <v>39</v>
      </c>
      <c r="C55" s="151">
        <v>0</v>
      </c>
      <c r="D55" s="147"/>
      <c r="E55" s="147"/>
      <c r="F55" s="147"/>
      <c r="G55" s="489"/>
      <c r="H55" s="147"/>
      <c r="I55" s="147">
        <f t="shared" si="13"/>
        <v>0</v>
      </c>
      <c r="J55" s="225"/>
    </row>
    <row r="56" spans="2:15" x14ac:dyDescent="0.3">
      <c r="B56" s="37" t="s">
        <v>40</v>
      </c>
      <c r="C56" s="151">
        <v>0</v>
      </c>
      <c r="D56" s="147"/>
      <c r="E56" s="147"/>
      <c r="F56" s="147"/>
      <c r="G56" s="489"/>
      <c r="H56" s="147"/>
      <c r="I56" s="147">
        <f t="shared" si="13"/>
        <v>0</v>
      </c>
      <c r="J56" s="225"/>
    </row>
    <row r="57" spans="2:15" x14ac:dyDescent="0.3">
      <c r="B57" s="37" t="s">
        <v>70</v>
      </c>
      <c r="C57" s="147">
        <v>0</v>
      </c>
      <c r="D57" s="147"/>
      <c r="E57" s="147"/>
      <c r="F57" s="147"/>
      <c r="G57" s="489"/>
      <c r="H57" s="147"/>
      <c r="I57" s="147">
        <f t="shared" si="13"/>
        <v>0</v>
      </c>
      <c r="J57" s="231"/>
    </row>
    <row r="58" spans="2:15" x14ac:dyDescent="0.3">
      <c r="B58" s="37" t="s">
        <v>417</v>
      </c>
      <c r="C58" s="151">
        <v>0</v>
      </c>
      <c r="D58" s="147"/>
      <c r="E58" s="147"/>
      <c r="F58" s="147"/>
      <c r="G58" s="489">
        <v>0</v>
      </c>
      <c r="H58" s="147"/>
      <c r="I58" s="147">
        <f t="shared" si="13"/>
        <v>0</v>
      </c>
      <c r="J58" s="225"/>
    </row>
    <row r="59" spans="2:15" x14ac:dyDescent="0.3">
      <c r="B59" s="39"/>
      <c r="C59" s="151"/>
      <c r="D59" s="151"/>
      <c r="E59" s="151"/>
      <c r="F59" s="151"/>
      <c r="G59" s="151"/>
      <c r="H59" s="151"/>
      <c r="I59" s="147">
        <f t="shared" si="13"/>
        <v>0</v>
      </c>
      <c r="J59" s="225"/>
    </row>
    <row r="60" spans="2:15" x14ac:dyDescent="0.3">
      <c r="B60" s="31" t="s">
        <v>41</v>
      </c>
      <c r="C60" s="152">
        <f t="shared" ref="C60:I60" si="14">SUM(C40:C59)</f>
        <v>4</v>
      </c>
      <c r="D60" s="152">
        <f>SUM(D40:D59)</f>
        <v>0</v>
      </c>
      <c r="E60" s="152">
        <f t="shared" si="14"/>
        <v>0</v>
      </c>
      <c r="F60" s="152">
        <f t="shared" si="14"/>
        <v>0</v>
      </c>
      <c r="G60" s="152">
        <f t="shared" ref="G60" si="15">SUM(G40:G59)</f>
        <v>1</v>
      </c>
      <c r="H60" s="152">
        <f t="shared" si="14"/>
        <v>0</v>
      </c>
      <c r="I60" s="152">
        <f t="shared" si="14"/>
        <v>5</v>
      </c>
      <c r="J60" s="231"/>
      <c r="K60" s="221"/>
    </row>
    <row r="61" spans="2:15" ht="15" thickBot="1" x14ac:dyDescent="0.35">
      <c r="B61" s="41"/>
      <c r="C61" s="153"/>
      <c r="D61" s="153"/>
      <c r="E61" s="153"/>
      <c r="F61" s="153"/>
      <c r="G61" s="153"/>
      <c r="H61" s="153"/>
      <c r="I61" s="153"/>
      <c r="J61" s="225"/>
    </row>
    <row r="62" spans="2:15" x14ac:dyDescent="0.3">
      <c r="B62" s="43" t="s">
        <v>42</v>
      </c>
      <c r="C62" s="44">
        <f t="shared" ref="C62:I62" si="16">C37</f>
        <v>0</v>
      </c>
      <c r="D62" s="44">
        <f>D37</f>
        <v>0</v>
      </c>
      <c r="E62" s="44">
        <f t="shared" si="16"/>
        <v>0</v>
      </c>
      <c r="F62" s="44">
        <f t="shared" si="16"/>
        <v>0</v>
      </c>
      <c r="G62" s="497">
        <f t="shared" si="16"/>
        <v>0</v>
      </c>
      <c r="H62" s="44">
        <f t="shared" si="16"/>
        <v>0</v>
      </c>
      <c r="I62" s="44">
        <f t="shared" si="16"/>
        <v>0</v>
      </c>
      <c r="J62" s="225"/>
    </row>
    <row r="63" spans="2:15" ht="15" thickBot="1" x14ac:dyDescent="0.35">
      <c r="B63" s="45" t="s">
        <v>43</v>
      </c>
      <c r="C63" s="46">
        <f t="shared" ref="C63:I63" si="17">C60</f>
        <v>4</v>
      </c>
      <c r="D63" s="46">
        <f>D60</f>
        <v>0</v>
      </c>
      <c r="E63" s="46">
        <f t="shared" si="17"/>
        <v>0</v>
      </c>
      <c r="F63" s="46">
        <f t="shared" si="17"/>
        <v>0</v>
      </c>
      <c r="G63" s="498">
        <f t="shared" si="17"/>
        <v>1</v>
      </c>
      <c r="H63" s="46">
        <f t="shared" si="17"/>
        <v>0</v>
      </c>
      <c r="I63" s="46">
        <f t="shared" si="17"/>
        <v>5</v>
      </c>
      <c r="J63" s="225"/>
    </row>
    <row r="64" spans="2:15" ht="15" thickBot="1" x14ac:dyDescent="0.35">
      <c r="B64" s="47" t="s">
        <v>44</v>
      </c>
      <c r="C64" s="48">
        <f t="shared" ref="C64:I64" si="18">SUM(C62:C63)</f>
        <v>4</v>
      </c>
      <c r="D64" s="48">
        <f>SUM(D62:D63)</f>
        <v>0</v>
      </c>
      <c r="E64" s="48">
        <f t="shared" si="18"/>
        <v>0</v>
      </c>
      <c r="F64" s="48">
        <f t="shared" si="18"/>
        <v>0</v>
      </c>
      <c r="G64" s="499">
        <f t="shared" ref="G64" si="19">SUM(G62:G63)</f>
        <v>1</v>
      </c>
      <c r="H64" s="48">
        <f t="shared" si="18"/>
        <v>0</v>
      </c>
      <c r="I64" s="48">
        <f t="shared" si="18"/>
        <v>5</v>
      </c>
      <c r="J64" s="225"/>
    </row>
    <row r="65" spans="1:13" ht="15" thickBot="1" x14ac:dyDescent="0.35">
      <c r="B65" s="37"/>
      <c r="C65" s="154"/>
      <c r="D65" s="154"/>
      <c r="E65" s="154"/>
      <c r="F65" s="154"/>
      <c r="G65" s="154"/>
      <c r="H65" s="154"/>
      <c r="I65" s="154"/>
      <c r="J65" s="225"/>
    </row>
    <row r="66" spans="1:13" x14ac:dyDescent="0.3">
      <c r="B66" s="127" t="s">
        <v>45</v>
      </c>
      <c r="C66" s="432"/>
      <c r="D66" s="432"/>
      <c r="E66" s="51"/>
      <c r="F66" s="51"/>
      <c r="G66" s="51"/>
      <c r="H66" s="51"/>
      <c r="I66" s="432"/>
      <c r="J66" s="225"/>
    </row>
    <row r="67" spans="1:13" x14ac:dyDescent="0.3">
      <c r="B67" s="33" t="s">
        <v>46</v>
      </c>
      <c r="C67" s="433"/>
      <c r="D67" s="433"/>
      <c r="E67" s="53"/>
      <c r="F67" s="53"/>
      <c r="G67" s="53"/>
      <c r="H67" s="53"/>
      <c r="I67" s="433"/>
      <c r="J67" s="225"/>
    </row>
    <row r="68" spans="1:13" x14ac:dyDescent="0.3">
      <c r="B68" s="128" t="s">
        <v>47</v>
      </c>
      <c r="C68" s="433"/>
      <c r="D68" s="433"/>
      <c r="E68" s="53"/>
      <c r="F68" s="53"/>
      <c r="G68" s="53"/>
      <c r="H68" s="53"/>
      <c r="I68" s="433"/>
      <c r="J68" s="225"/>
    </row>
    <row r="69" spans="1:13" ht="15" thickBot="1" x14ac:dyDescent="0.35">
      <c r="B69" s="129" t="s">
        <v>48</v>
      </c>
      <c r="C69" s="434"/>
      <c r="D69" s="434"/>
      <c r="E69" s="56"/>
      <c r="F69" s="56"/>
      <c r="G69" s="56"/>
      <c r="H69" s="56"/>
      <c r="I69" s="434"/>
      <c r="J69" s="225"/>
    </row>
    <row r="70" spans="1:13" s="62" customFormat="1" x14ac:dyDescent="0.3">
      <c r="A70" s="57"/>
      <c r="B70" s="58"/>
      <c r="C70" s="154"/>
      <c r="D70" s="154"/>
      <c r="E70" s="154"/>
      <c r="F70" s="154"/>
      <c r="G70" s="541"/>
      <c r="H70" s="154"/>
      <c r="I70" s="154"/>
      <c r="J70" s="225"/>
    </row>
    <row r="71" spans="1:13" s="62" customFormat="1" x14ac:dyDescent="0.3">
      <c r="A71" s="57"/>
      <c r="C71" s="154"/>
      <c r="D71" s="154"/>
      <c r="E71" s="154"/>
      <c r="F71" s="154"/>
      <c r="G71" s="154"/>
      <c r="H71" s="154"/>
      <c r="I71" s="154"/>
      <c r="J71" s="225"/>
    </row>
    <row r="72" spans="1:13" x14ac:dyDescent="0.3">
      <c r="A72" s="63"/>
      <c r="B72" s="130" t="s">
        <v>405</v>
      </c>
      <c r="C72" s="155" t="str">
        <f t="shared" ref="C72:I72" si="20">C1</f>
        <v>Operating</v>
      </c>
      <c r="D72" s="155" t="str">
        <f t="shared" si="20"/>
        <v>Weights</v>
      </c>
      <c r="E72" s="155" t="str">
        <f t="shared" si="20"/>
        <v>SPED</v>
      </c>
      <c r="F72" s="155" t="str">
        <f t="shared" si="20"/>
        <v>NSLP</v>
      </c>
      <c r="G72" s="155" t="str">
        <f t="shared" si="20"/>
        <v>CSP</v>
      </c>
      <c r="H72" s="155" t="str">
        <f t="shared" si="20"/>
        <v>Title</v>
      </c>
      <c r="I72" s="155" t="str">
        <f t="shared" si="20"/>
        <v>Total</v>
      </c>
      <c r="J72" s="232"/>
      <c r="K72" s="273" t="s">
        <v>221</v>
      </c>
      <c r="L72" s="273" t="s">
        <v>222</v>
      </c>
      <c r="M72" s="273" t="s">
        <v>223</v>
      </c>
    </row>
    <row r="73" spans="1:13" x14ac:dyDescent="0.3">
      <c r="A73" s="67">
        <v>3110</v>
      </c>
      <c r="B73" s="413" t="s">
        <v>339</v>
      </c>
      <c r="C73" s="156">
        <f>(C2*C5)*0.99</f>
        <v>0</v>
      </c>
      <c r="D73" s="156"/>
      <c r="E73" s="156"/>
      <c r="F73" s="156"/>
      <c r="G73" s="156"/>
      <c r="H73" s="156"/>
      <c r="I73" s="143">
        <f>SUM(C73:H73)</f>
        <v>0</v>
      </c>
      <c r="J73" s="233"/>
      <c r="K73" s="219">
        <v>200</v>
      </c>
      <c r="L73" s="219">
        <v>280</v>
      </c>
      <c r="M73" s="219">
        <v>364</v>
      </c>
    </row>
    <row r="74" spans="1:13" x14ac:dyDescent="0.3">
      <c r="A74" s="67">
        <v>4500</v>
      </c>
      <c r="B74" s="409" t="s">
        <v>331</v>
      </c>
      <c r="C74" s="143">
        <f>(C19*C26)*3.1*180</f>
        <v>0</v>
      </c>
      <c r="D74" s="143"/>
      <c r="E74" s="143"/>
      <c r="F74" s="143"/>
      <c r="G74" s="143"/>
      <c r="H74" s="143"/>
      <c r="I74" s="143">
        <f t="shared" ref="I74:I84" si="21">SUM(C74:H74)</f>
        <v>0</v>
      </c>
      <c r="J74" s="234"/>
      <c r="K74" s="272">
        <v>91981</v>
      </c>
      <c r="L74" s="272">
        <v>89741.34</v>
      </c>
      <c r="M74" s="272">
        <f>233347-50000</f>
        <v>183347</v>
      </c>
    </row>
    <row r="75" spans="1:13" x14ac:dyDescent="0.3">
      <c r="A75" s="67">
        <v>4500</v>
      </c>
      <c r="B75" s="409" t="s">
        <v>330</v>
      </c>
      <c r="C75" s="143">
        <v>0</v>
      </c>
      <c r="D75" s="143"/>
      <c r="E75" s="143"/>
      <c r="F75" s="143"/>
      <c r="G75" s="143"/>
      <c r="H75" s="143"/>
      <c r="I75" s="143">
        <f t="shared" si="21"/>
        <v>0</v>
      </c>
      <c r="J75" s="235"/>
      <c r="L75" s="274"/>
    </row>
    <row r="76" spans="1:13" x14ac:dyDescent="0.3">
      <c r="A76" s="74">
        <v>3115</v>
      </c>
      <c r="B76" s="410" t="s">
        <v>51</v>
      </c>
      <c r="C76" s="153">
        <v>0</v>
      </c>
      <c r="D76" s="153"/>
      <c r="E76" s="153"/>
      <c r="F76" s="153"/>
      <c r="G76" s="153"/>
      <c r="H76" s="153"/>
      <c r="I76" s="143">
        <f t="shared" si="21"/>
        <v>0</v>
      </c>
      <c r="J76" s="235"/>
    </row>
    <row r="77" spans="1:13" x14ac:dyDescent="0.3">
      <c r="A77" s="74"/>
      <c r="B77" s="410" t="s">
        <v>384</v>
      </c>
      <c r="C77" s="153">
        <v>0</v>
      </c>
      <c r="D77" s="153"/>
      <c r="E77" s="153"/>
      <c r="F77" s="153"/>
      <c r="G77" s="153"/>
      <c r="H77" s="153"/>
      <c r="I77" s="143">
        <f t="shared" si="21"/>
        <v>0</v>
      </c>
      <c r="J77" s="235"/>
    </row>
    <row r="78" spans="1:13" x14ac:dyDescent="0.3">
      <c r="A78" s="74"/>
      <c r="B78" s="410" t="s">
        <v>390</v>
      </c>
      <c r="C78" s="153">
        <v>0</v>
      </c>
      <c r="D78" s="153"/>
      <c r="E78" s="153"/>
      <c r="F78" s="153"/>
      <c r="G78" s="153"/>
      <c r="H78" s="153"/>
      <c r="I78" s="143">
        <f t="shared" si="21"/>
        <v>0</v>
      </c>
      <c r="J78" s="235"/>
    </row>
    <row r="79" spans="1:13" x14ac:dyDescent="0.3">
      <c r="A79" s="74"/>
      <c r="B79" s="409" t="s">
        <v>416</v>
      </c>
      <c r="C79" s="153"/>
      <c r="D79" s="153"/>
      <c r="E79" s="153"/>
      <c r="F79" s="153"/>
      <c r="G79" s="153"/>
      <c r="H79" s="153"/>
      <c r="I79" s="143">
        <f t="shared" si="21"/>
        <v>0</v>
      </c>
      <c r="J79" s="235"/>
      <c r="K79" s="414">
        <f>7074*0.23</f>
        <v>1627.02</v>
      </c>
      <c r="L79" s="219" t="s">
        <v>342</v>
      </c>
    </row>
    <row r="80" spans="1:13" x14ac:dyDescent="0.3">
      <c r="A80" s="67">
        <v>3200</v>
      </c>
      <c r="B80" s="409" t="s">
        <v>332</v>
      </c>
      <c r="C80" s="143">
        <v>0</v>
      </c>
      <c r="D80" s="143"/>
      <c r="E80" s="143"/>
      <c r="F80" s="143"/>
      <c r="G80" s="143"/>
      <c r="H80" s="143"/>
      <c r="I80" s="143">
        <f t="shared" si="21"/>
        <v>0</v>
      </c>
      <c r="J80" s="235"/>
      <c r="K80" s="414">
        <f>7074*0.12</f>
        <v>848.88</v>
      </c>
      <c r="L80" s="219" t="s">
        <v>343</v>
      </c>
    </row>
    <row r="81" spans="1:13" x14ac:dyDescent="0.3">
      <c r="A81" s="67"/>
      <c r="B81" s="409" t="s">
        <v>334</v>
      </c>
      <c r="C81" s="143">
        <v>0</v>
      </c>
      <c r="D81" s="143"/>
      <c r="E81" s="143"/>
      <c r="F81" s="143"/>
      <c r="G81" s="143"/>
      <c r="H81" s="143"/>
      <c r="I81" s="143">
        <f t="shared" si="21"/>
        <v>0</v>
      </c>
      <c r="J81" s="225"/>
      <c r="K81" s="414">
        <f>7074*0.03</f>
        <v>212.22</v>
      </c>
      <c r="L81" s="274" t="s">
        <v>344</v>
      </c>
      <c r="M81" s="274"/>
    </row>
    <row r="82" spans="1:13" x14ac:dyDescent="0.3">
      <c r="A82" s="67"/>
      <c r="B82" s="71" t="s">
        <v>456</v>
      </c>
      <c r="C82" s="143">
        <v>0</v>
      </c>
      <c r="D82" s="143"/>
      <c r="E82" s="143"/>
      <c r="F82" s="143"/>
      <c r="G82" s="143">
        <v>262908</v>
      </c>
      <c r="H82" s="143"/>
      <c r="I82" s="143">
        <f t="shared" si="21"/>
        <v>262908</v>
      </c>
      <c r="J82" s="225"/>
      <c r="K82" s="274"/>
      <c r="L82" s="274"/>
      <c r="M82" s="274"/>
    </row>
    <row r="83" spans="1:13" x14ac:dyDescent="0.3">
      <c r="A83" s="67"/>
      <c r="B83" s="506" t="s">
        <v>454</v>
      </c>
      <c r="C83" s="143">
        <f>455000+55000+538867+180000</f>
        <v>1228867</v>
      </c>
      <c r="D83" s="143"/>
      <c r="E83" s="143"/>
      <c r="F83" s="143"/>
      <c r="G83" s="143"/>
      <c r="H83" s="143"/>
      <c r="I83" s="143">
        <f t="shared" si="21"/>
        <v>1228867</v>
      </c>
      <c r="J83" s="225"/>
      <c r="K83" s="274"/>
      <c r="L83" s="274"/>
      <c r="M83" s="274"/>
    </row>
    <row r="84" spans="1:13" ht="15" thickBot="1" x14ac:dyDescent="0.35">
      <c r="A84" s="67"/>
      <c r="B84" s="506" t="s">
        <v>428</v>
      </c>
      <c r="C84" s="143">
        <v>0</v>
      </c>
      <c r="D84" s="143"/>
      <c r="E84" s="143"/>
      <c r="F84" s="143"/>
      <c r="G84" s="143"/>
      <c r="H84" s="143"/>
      <c r="I84" s="143">
        <f t="shared" si="21"/>
        <v>0</v>
      </c>
      <c r="J84" s="431"/>
      <c r="K84" s="167"/>
    </row>
    <row r="85" spans="1:13" ht="15" thickBot="1" x14ac:dyDescent="0.35">
      <c r="A85" s="75"/>
      <c r="B85" s="131" t="s">
        <v>52</v>
      </c>
      <c r="C85" s="77">
        <f t="shared" ref="C85:I85" si="22">SUM(C73:C84)</f>
        <v>1228867</v>
      </c>
      <c r="D85" s="77">
        <f t="shared" si="22"/>
        <v>0</v>
      </c>
      <c r="E85" s="77">
        <f t="shared" si="22"/>
        <v>0</v>
      </c>
      <c r="F85" s="77">
        <f t="shared" si="22"/>
        <v>0</v>
      </c>
      <c r="G85" s="77">
        <f t="shared" si="22"/>
        <v>262908</v>
      </c>
      <c r="H85" s="77">
        <f t="shared" si="22"/>
        <v>0</v>
      </c>
      <c r="I85" s="77">
        <f t="shared" si="22"/>
        <v>1491775</v>
      </c>
      <c r="J85" s="225"/>
    </row>
    <row r="86" spans="1:13" hidden="1" x14ac:dyDescent="0.3">
      <c r="A86" s="78"/>
      <c r="B86" s="71" t="s">
        <v>53</v>
      </c>
      <c r="C86" s="157">
        <f>C2*C5</f>
        <v>0</v>
      </c>
      <c r="D86" s="157"/>
      <c r="E86" s="157"/>
      <c r="F86" s="157"/>
      <c r="G86" s="157"/>
      <c r="H86" s="157"/>
      <c r="I86" s="143">
        <f>SUM(C86:H86)</f>
        <v>0</v>
      </c>
      <c r="J86" s="231"/>
    </row>
    <row r="87" spans="1:13" hidden="1" x14ac:dyDescent="0.3">
      <c r="A87" s="67"/>
      <c r="B87" s="409" t="str">
        <f t="shared" ref="B87:C89" si="23">B74</f>
        <v>National School Lunch Program (NSLP)</v>
      </c>
      <c r="C87" s="143">
        <f t="shared" si="23"/>
        <v>0</v>
      </c>
      <c r="D87" s="143">
        <f t="shared" ref="D87:H87" si="24">D74</f>
        <v>0</v>
      </c>
      <c r="E87" s="143">
        <f t="shared" si="24"/>
        <v>0</v>
      </c>
      <c r="F87" s="143">
        <f t="shared" si="24"/>
        <v>0</v>
      </c>
      <c r="G87" s="143">
        <f t="shared" si="24"/>
        <v>0</v>
      </c>
      <c r="H87" s="143">
        <f t="shared" si="24"/>
        <v>0</v>
      </c>
      <c r="I87" s="143">
        <f t="shared" ref="I87:I97" si="25">SUM(C87:H87)</f>
        <v>0</v>
      </c>
      <c r="J87" s="225"/>
    </row>
    <row r="88" spans="1:13" hidden="1" x14ac:dyDescent="0.3">
      <c r="A88" s="67"/>
      <c r="B88" s="409" t="str">
        <f t="shared" si="23"/>
        <v>SPED Funding (Part B)</v>
      </c>
      <c r="C88" s="143">
        <f t="shared" ref="C88:H88" si="26">C75</f>
        <v>0</v>
      </c>
      <c r="D88" s="143">
        <f t="shared" si="26"/>
        <v>0</v>
      </c>
      <c r="E88" s="143">
        <f t="shared" si="26"/>
        <v>0</v>
      </c>
      <c r="F88" s="143">
        <f t="shared" si="26"/>
        <v>0</v>
      </c>
      <c r="G88" s="143">
        <f t="shared" si="26"/>
        <v>0</v>
      </c>
      <c r="H88" s="143">
        <f t="shared" si="26"/>
        <v>0</v>
      </c>
      <c r="I88" s="143">
        <f t="shared" si="25"/>
        <v>0</v>
      </c>
      <c r="J88" s="225"/>
    </row>
    <row r="89" spans="1:13" hidden="1" x14ac:dyDescent="0.3">
      <c r="A89" s="74"/>
      <c r="B89" s="409" t="str">
        <f t="shared" si="23"/>
        <v>SPED Discretionary Unit</v>
      </c>
      <c r="C89" s="143">
        <f t="shared" ref="C89:H89" si="27">C76</f>
        <v>0</v>
      </c>
      <c r="D89" s="143">
        <f t="shared" si="27"/>
        <v>0</v>
      </c>
      <c r="E89" s="143">
        <f t="shared" si="27"/>
        <v>0</v>
      </c>
      <c r="F89" s="143">
        <f t="shared" si="27"/>
        <v>0</v>
      </c>
      <c r="G89" s="143">
        <f t="shared" si="27"/>
        <v>0</v>
      </c>
      <c r="H89" s="143">
        <f t="shared" si="27"/>
        <v>0</v>
      </c>
      <c r="I89" s="143">
        <f t="shared" si="25"/>
        <v>0</v>
      </c>
      <c r="J89" s="225"/>
    </row>
    <row r="90" spans="1:13" hidden="1" x14ac:dyDescent="0.3">
      <c r="A90" s="74"/>
      <c r="B90" s="409" t="s">
        <v>384</v>
      </c>
      <c r="C90" s="143">
        <f t="shared" ref="C90:H90" si="28">C77</f>
        <v>0</v>
      </c>
      <c r="D90" s="143">
        <f t="shared" si="28"/>
        <v>0</v>
      </c>
      <c r="E90" s="143">
        <f t="shared" si="28"/>
        <v>0</v>
      </c>
      <c r="F90" s="143">
        <f t="shared" si="28"/>
        <v>0</v>
      </c>
      <c r="G90" s="143">
        <f t="shared" si="28"/>
        <v>0</v>
      </c>
      <c r="H90" s="143">
        <f t="shared" si="28"/>
        <v>0</v>
      </c>
      <c r="I90" s="143">
        <f t="shared" si="25"/>
        <v>0</v>
      </c>
      <c r="J90" s="225"/>
    </row>
    <row r="91" spans="1:13" hidden="1" x14ac:dyDescent="0.3">
      <c r="A91" s="74"/>
      <c r="B91" s="410" t="s">
        <v>390</v>
      </c>
      <c r="C91" s="143">
        <f t="shared" ref="C91:H91" si="29">C78</f>
        <v>0</v>
      </c>
      <c r="D91" s="143">
        <f t="shared" si="29"/>
        <v>0</v>
      </c>
      <c r="E91" s="143">
        <f t="shared" si="29"/>
        <v>0</v>
      </c>
      <c r="F91" s="143">
        <f t="shared" si="29"/>
        <v>0</v>
      </c>
      <c r="G91" s="143">
        <f t="shared" si="29"/>
        <v>0</v>
      </c>
      <c r="H91" s="143">
        <f t="shared" si="29"/>
        <v>0</v>
      </c>
      <c r="I91" s="143"/>
      <c r="J91" s="225"/>
    </row>
    <row r="92" spans="1:13" hidden="1" x14ac:dyDescent="0.3">
      <c r="A92" s="67"/>
      <c r="B92" s="409" t="str">
        <f t="shared" ref="B92:C97" si="30">B79</f>
        <v>EL Weight</v>
      </c>
      <c r="C92" s="143">
        <f t="shared" si="30"/>
        <v>0</v>
      </c>
      <c r="D92" s="143">
        <f t="shared" ref="D92:H92" si="31">D79</f>
        <v>0</v>
      </c>
      <c r="E92" s="143">
        <f t="shared" si="31"/>
        <v>0</v>
      </c>
      <c r="F92" s="143">
        <f t="shared" si="31"/>
        <v>0</v>
      </c>
      <c r="G92" s="143">
        <f t="shared" si="31"/>
        <v>0</v>
      </c>
      <c r="H92" s="143">
        <f t="shared" si="31"/>
        <v>0</v>
      </c>
      <c r="I92" s="143">
        <f t="shared" si="25"/>
        <v>0</v>
      </c>
      <c r="J92" s="225"/>
    </row>
    <row r="93" spans="1:13" hidden="1" x14ac:dyDescent="0.3">
      <c r="A93" s="67"/>
      <c r="B93" s="409" t="str">
        <f t="shared" si="30"/>
        <v>Gifted and Talented Education (GATE) Weight</v>
      </c>
      <c r="C93" s="143">
        <f t="shared" si="30"/>
        <v>0</v>
      </c>
      <c r="D93" s="143">
        <f t="shared" ref="D93:H93" si="32">D80</f>
        <v>0</v>
      </c>
      <c r="E93" s="143">
        <f t="shared" si="32"/>
        <v>0</v>
      </c>
      <c r="F93" s="143">
        <f t="shared" si="32"/>
        <v>0</v>
      </c>
      <c r="G93" s="143">
        <f t="shared" si="32"/>
        <v>0</v>
      </c>
      <c r="H93" s="143">
        <f t="shared" si="32"/>
        <v>0</v>
      </c>
      <c r="I93" s="143">
        <f t="shared" si="25"/>
        <v>0</v>
      </c>
      <c r="J93" s="225"/>
    </row>
    <row r="94" spans="1:13" hidden="1" x14ac:dyDescent="0.3">
      <c r="A94" s="67"/>
      <c r="B94" s="409" t="str">
        <f t="shared" si="30"/>
        <v>At-Risk Weight</v>
      </c>
      <c r="C94" s="143">
        <f t="shared" si="30"/>
        <v>0</v>
      </c>
      <c r="D94" s="143">
        <f t="shared" ref="D94:H94" si="33">D81</f>
        <v>0</v>
      </c>
      <c r="E94" s="143">
        <f t="shared" si="33"/>
        <v>0</v>
      </c>
      <c r="F94" s="143">
        <f t="shared" si="33"/>
        <v>0</v>
      </c>
      <c r="G94" s="143">
        <f t="shared" si="33"/>
        <v>0</v>
      </c>
      <c r="H94" s="143">
        <f t="shared" si="33"/>
        <v>0</v>
      </c>
      <c r="I94" s="143">
        <f t="shared" si="25"/>
        <v>0</v>
      </c>
      <c r="J94" s="225"/>
    </row>
    <row r="95" spans="1:13" hidden="1" x14ac:dyDescent="0.3">
      <c r="A95" s="67"/>
      <c r="B95" s="409" t="str">
        <f t="shared" si="30"/>
        <v>OTHER: Charter School Program (CSP) Grant</v>
      </c>
      <c r="C95" s="143">
        <f t="shared" si="30"/>
        <v>0</v>
      </c>
      <c r="D95" s="143">
        <f t="shared" ref="D95:H95" si="34">D82</f>
        <v>0</v>
      </c>
      <c r="E95" s="143">
        <f t="shared" si="34"/>
        <v>0</v>
      </c>
      <c r="F95" s="143">
        <f t="shared" si="34"/>
        <v>0</v>
      </c>
      <c r="G95" s="143">
        <f t="shared" si="34"/>
        <v>262908</v>
      </c>
      <c r="H95" s="143">
        <f t="shared" si="34"/>
        <v>0</v>
      </c>
      <c r="I95" s="143">
        <f t="shared" si="25"/>
        <v>262908</v>
      </c>
      <c r="J95" s="225"/>
    </row>
    <row r="96" spans="1:13" hidden="1" x14ac:dyDescent="0.3">
      <c r="A96" s="67"/>
      <c r="B96" s="409" t="str">
        <f t="shared" si="30"/>
        <v>OTHER: Donation (Sands Corporation)</v>
      </c>
      <c r="C96" s="143">
        <f t="shared" si="30"/>
        <v>1228867</v>
      </c>
      <c r="D96" s="143">
        <f t="shared" ref="D96:H96" si="35">D83</f>
        <v>0</v>
      </c>
      <c r="E96" s="143">
        <f t="shared" si="35"/>
        <v>0</v>
      </c>
      <c r="F96" s="143">
        <f t="shared" si="35"/>
        <v>0</v>
      </c>
      <c r="G96" s="143">
        <f t="shared" si="35"/>
        <v>0</v>
      </c>
      <c r="H96" s="143">
        <f t="shared" si="35"/>
        <v>0</v>
      </c>
      <c r="I96" s="143">
        <f t="shared" si="25"/>
        <v>1228867</v>
      </c>
      <c r="J96" s="225"/>
    </row>
    <row r="97" spans="1:15" hidden="1" x14ac:dyDescent="0.3">
      <c r="A97" s="67"/>
      <c r="B97" s="409" t="str">
        <f t="shared" si="30"/>
        <v>OTHER: Tenant Improvements Donation</v>
      </c>
      <c r="C97" s="143">
        <f t="shared" si="30"/>
        <v>0</v>
      </c>
      <c r="D97" s="143">
        <f t="shared" ref="D97:H97" si="36">D84</f>
        <v>0</v>
      </c>
      <c r="E97" s="143">
        <f t="shared" si="36"/>
        <v>0</v>
      </c>
      <c r="F97" s="143">
        <f t="shared" si="36"/>
        <v>0</v>
      </c>
      <c r="G97" s="143">
        <f t="shared" si="36"/>
        <v>0</v>
      </c>
      <c r="H97" s="143">
        <f t="shared" si="36"/>
        <v>0</v>
      </c>
      <c r="I97" s="147">
        <f t="shared" si="25"/>
        <v>0</v>
      </c>
      <c r="J97" s="225"/>
    </row>
    <row r="98" spans="1:15" hidden="1" x14ac:dyDescent="0.3">
      <c r="A98" s="67"/>
      <c r="B98" s="132" t="s">
        <v>54</v>
      </c>
      <c r="C98" s="158">
        <f t="shared" ref="C98:I98" si="37">SUM(C86:C97)</f>
        <v>1228867</v>
      </c>
      <c r="D98" s="158">
        <f t="shared" si="37"/>
        <v>0</v>
      </c>
      <c r="E98" s="158">
        <f t="shared" si="37"/>
        <v>0</v>
      </c>
      <c r="F98" s="158">
        <f t="shared" si="37"/>
        <v>0</v>
      </c>
      <c r="G98" s="158"/>
      <c r="H98" s="158">
        <f t="shared" si="37"/>
        <v>0</v>
      </c>
      <c r="I98" s="158">
        <f t="shared" si="37"/>
        <v>1491775</v>
      </c>
      <c r="J98" s="225"/>
    </row>
    <row r="99" spans="1:15" s="62" customFormat="1" x14ac:dyDescent="0.3">
      <c r="A99" s="57"/>
      <c r="C99" s="154"/>
      <c r="D99" s="154"/>
      <c r="E99" s="154"/>
      <c r="F99" s="154"/>
      <c r="G99" s="154"/>
      <c r="H99" s="154"/>
      <c r="I99" s="154"/>
      <c r="J99" s="225"/>
    </row>
    <row r="100" spans="1:15" s="62" customFormat="1" x14ac:dyDescent="0.3">
      <c r="A100" s="57"/>
      <c r="B100" s="82" t="s">
        <v>55</v>
      </c>
      <c r="C100" s="154"/>
      <c r="D100" s="154"/>
      <c r="E100" s="154"/>
      <c r="F100" s="154"/>
      <c r="G100" s="154"/>
      <c r="H100" s="154"/>
      <c r="I100" s="154"/>
      <c r="J100" s="225"/>
    </row>
    <row r="101" spans="1:15" x14ac:dyDescent="0.3">
      <c r="A101" s="70"/>
      <c r="B101" s="133" t="s">
        <v>56</v>
      </c>
      <c r="C101" s="150" t="str">
        <f t="shared" ref="C101:I101" si="38">C1</f>
        <v>Operating</v>
      </c>
      <c r="D101" s="150" t="str">
        <f t="shared" si="38"/>
        <v>Weights</v>
      </c>
      <c r="E101" s="150" t="str">
        <f t="shared" si="38"/>
        <v>SPED</v>
      </c>
      <c r="F101" s="150" t="str">
        <f t="shared" si="38"/>
        <v>NSLP</v>
      </c>
      <c r="G101" s="150" t="str">
        <f t="shared" ref="G101" si="39">G1</f>
        <v>CSP</v>
      </c>
      <c r="H101" s="150" t="str">
        <f t="shared" si="38"/>
        <v>Title</v>
      </c>
      <c r="I101" s="150" t="str">
        <f t="shared" si="38"/>
        <v>Total</v>
      </c>
      <c r="J101" s="230"/>
    </row>
    <row r="102" spans="1:15" x14ac:dyDescent="0.3">
      <c r="A102" s="67">
        <v>104</v>
      </c>
      <c r="B102" s="71" t="s">
        <v>30</v>
      </c>
      <c r="C102" s="143">
        <v>100000</v>
      </c>
      <c r="D102" s="143"/>
      <c r="E102" s="143"/>
      <c r="F102" s="143"/>
      <c r="G102" s="143"/>
      <c r="H102" s="143"/>
      <c r="I102" s="143">
        <f>SUM(C102:H102)</f>
        <v>100000</v>
      </c>
      <c r="J102" s="225"/>
    </row>
    <row r="103" spans="1:15" x14ac:dyDescent="0.3">
      <c r="A103" s="67">
        <v>104</v>
      </c>
      <c r="B103" s="71" t="s">
        <v>57</v>
      </c>
      <c r="C103" s="143">
        <v>0</v>
      </c>
      <c r="D103" s="143"/>
      <c r="E103" s="143"/>
      <c r="F103" s="143"/>
      <c r="G103" s="143"/>
      <c r="H103" s="143"/>
      <c r="I103" s="143">
        <f t="shared" ref="I103:I114" si="40">SUM(C103:H103)</f>
        <v>0</v>
      </c>
      <c r="J103" s="225"/>
      <c r="K103" s="219">
        <f>65000/4</f>
        <v>16250</v>
      </c>
    </row>
    <row r="104" spans="1:15" x14ac:dyDescent="0.3">
      <c r="A104" s="67">
        <v>105</v>
      </c>
      <c r="B104" s="71" t="s">
        <v>415</v>
      </c>
      <c r="C104" s="143">
        <v>16250</v>
      </c>
      <c r="D104" s="143"/>
      <c r="E104" s="143"/>
      <c r="F104" s="143"/>
      <c r="G104" s="143"/>
      <c r="H104" s="143"/>
      <c r="I104" s="143">
        <f t="shared" si="40"/>
        <v>16250</v>
      </c>
      <c r="J104" s="225"/>
    </row>
    <row r="105" spans="1:15" x14ac:dyDescent="0.3">
      <c r="A105" s="469">
        <v>105</v>
      </c>
      <c r="B105" s="470" t="s">
        <v>417</v>
      </c>
      <c r="C105" s="143">
        <f>57000*C58</f>
        <v>0</v>
      </c>
      <c r="D105" s="143"/>
      <c r="E105" s="143"/>
      <c r="F105" s="143"/>
      <c r="G105" s="143">
        <v>0</v>
      </c>
      <c r="H105" s="143"/>
      <c r="I105" s="143">
        <f t="shared" si="40"/>
        <v>0</v>
      </c>
      <c r="J105" s="225"/>
    </row>
    <row r="106" spans="1:15" x14ac:dyDescent="0.3">
      <c r="A106" s="469">
        <v>105</v>
      </c>
      <c r="B106" s="471" t="s">
        <v>413</v>
      </c>
      <c r="C106" s="143">
        <v>15000</v>
      </c>
      <c r="D106" s="143"/>
      <c r="E106" s="143"/>
      <c r="F106" s="143"/>
      <c r="G106" s="143">
        <v>0</v>
      </c>
      <c r="H106" s="143"/>
      <c r="I106" s="143">
        <f t="shared" si="40"/>
        <v>15000</v>
      </c>
      <c r="J106" s="225"/>
    </row>
    <row r="107" spans="1:15" x14ac:dyDescent="0.3">
      <c r="A107" s="67">
        <v>105</v>
      </c>
      <c r="B107" s="71" t="s">
        <v>425</v>
      </c>
      <c r="C107" s="143">
        <v>0</v>
      </c>
      <c r="D107" s="143"/>
      <c r="E107" s="143"/>
      <c r="F107" s="143"/>
      <c r="G107" s="143"/>
      <c r="H107" s="143"/>
      <c r="I107" s="143">
        <f t="shared" si="40"/>
        <v>0</v>
      </c>
      <c r="J107" s="225"/>
      <c r="N107" s="250"/>
      <c r="O107" s="250"/>
    </row>
    <row r="108" spans="1:15" x14ac:dyDescent="0.3">
      <c r="A108" s="67" t="s">
        <v>58</v>
      </c>
      <c r="B108" s="71" t="s">
        <v>59</v>
      </c>
      <c r="C108" s="143">
        <f>42500*(C37-C30)</f>
        <v>0</v>
      </c>
      <c r="D108" s="143"/>
      <c r="E108" s="143"/>
      <c r="F108" s="143"/>
      <c r="G108" s="143"/>
      <c r="H108" s="143"/>
      <c r="I108" s="143">
        <f t="shared" si="40"/>
        <v>0</v>
      </c>
      <c r="J108" s="226"/>
      <c r="K108" s="221"/>
      <c r="L108" s="221"/>
      <c r="M108" s="221"/>
      <c r="N108" s="221"/>
      <c r="O108" s="221"/>
    </row>
    <row r="109" spans="1:15" x14ac:dyDescent="0.3">
      <c r="A109" s="67">
        <v>101</v>
      </c>
      <c r="B109" s="71" t="s">
        <v>20</v>
      </c>
      <c r="C109" s="143">
        <v>0</v>
      </c>
      <c r="D109" s="143"/>
      <c r="E109" s="143"/>
      <c r="F109" s="143"/>
      <c r="G109" s="143"/>
      <c r="H109" s="143"/>
      <c r="I109" s="143">
        <f t="shared" si="40"/>
        <v>0</v>
      </c>
      <c r="J109" s="226"/>
      <c r="K109" s="364"/>
      <c r="L109" s="364"/>
      <c r="M109" s="364"/>
      <c r="N109" s="364"/>
      <c r="O109" s="364"/>
    </row>
    <row r="110" spans="1:15" x14ac:dyDescent="0.3">
      <c r="A110" s="67">
        <v>107</v>
      </c>
      <c r="B110" s="71" t="s">
        <v>60</v>
      </c>
      <c r="C110" s="143">
        <v>0</v>
      </c>
      <c r="D110" s="143"/>
      <c r="E110" s="143"/>
      <c r="F110" s="143"/>
      <c r="G110" s="143">
        <v>20000</v>
      </c>
      <c r="H110" s="143"/>
      <c r="I110" s="143">
        <f t="shared" si="40"/>
        <v>20000</v>
      </c>
      <c r="J110" s="168"/>
    </row>
    <row r="111" spans="1:15" x14ac:dyDescent="0.3">
      <c r="A111" s="67">
        <v>107</v>
      </c>
      <c r="B111" s="71" t="s">
        <v>61</v>
      </c>
      <c r="C111" s="143">
        <f>(13*8*190)*(C48+C49)</f>
        <v>0</v>
      </c>
      <c r="D111" s="143"/>
      <c r="E111" s="143"/>
      <c r="F111" s="143"/>
      <c r="G111" s="143"/>
      <c r="H111" s="143"/>
      <c r="I111" s="143">
        <f t="shared" si="40"/>
        <v>0</v>
      </c>
      <c r="J111" s="226"/>
      <c r="L111" s="221"/>
      <c r="M111" s="221"/>
      <c r="N111" s="221"/>
      <c r="O111" s="221"/>
    </row>
    <row r="112" spans="1:15" x14ac:dyDescent="0.3">
      <c r="A112" s="67">
        <v>102</v>
      </c>
      <c r="B112" s="71" t="s">
        <v>426</v>
      </c>
      <c r="C112" s="143">
        <f>(12.75*8*180)*C50</f>
        <v>0</v>
      </c>
      <c r="D112" s="143"/>
      <c r="E112" s="143"/>
      <c r="F112" s="143"/>
      <c r="G112" s="143"/>
      <c r="H112" s="143"/>
      <c r="I112" s="143">
        <f t="shared" si="40"/>
        <v>0</v>
      </c>
      <c r="J112" s="226"/>
    </row>
    <row r="113" spans="1:15" x14ac:dyDescent="0.3">
      <c r="A113" s="67">
        <v>107</v>
      </c>
      <c r="B113" s="410" t="s">
        <v>457</v>
      </c>
      <c r="C113" s="143">
        <v>14583</v>
      </c>
      <c r="D113" s="143"/>
      <c r="E113" s="143"/>
      <c r="F113" s="143"/>
      <c r="G113" s="143"/>
      <c r="H113" s="143"/>
      <c r="I113" s="143">
        <f t="shared" si="40"/>
        <v>14583</v>
      </c>
      <c r="J113" s="226"/>
    </row>
    <row r="114" spans="1:15" x14ac:dyDescent="0.3">
      <c r="A114" s="67">
        <v>107</v>
      </c>
      <c r="B114" s="71" t="s">
        <v>64</v>
      </c>
      <c r="C114" s="143"/>
      <c r="D114" s="143"/>
      <c r="E114" s="143"/>
      <c r="F114" s="143"/>
      <c r="G114" s="143"/>
      <c r="H114" s="143"/>
      <c r="I114" s="143">
        <f t="shared" si="40"/>
        <v>0</v>
      </c>
      <c r="J114" s="226"/>
    </row>
    <row r="115" spans="1:15" x14ac:dyDescent="0.3">
      <c r="A115" s="63"/>
      <c r="B115" s="134" t="s">
        <v>65</v>
      </c>
      <c r="C115" s="159">
        <f t="shared" ref="C115:I115" si="41">SUM(C102:C114)</f>
        <v>145833</v>
      </c>
      <c r="D115" s="159">
        <f t="shared" si="41"/>
        <v>0</v>
      </c>
      <c r="E115" s="159">
        <f t="shared" si="41"/>
        <v>0</v>
      </c>
      <c r="F115" s="159">
        <f t="shared" si="41"/>
        <v>0</v>
      </c>
      <c r="G115" s="159">
        <f t="shared" si="41"/>
        <v>20000</v>
      </c>
      <c r="H115" s="159">
        <f t="shared" si="41"/>
        <v>0</v>
      </c>
      <c r="I115" s="159">
        <f t="shared" si="41"/>
        <v>165833</v>
      </c>
      <c r="J115" s="236"/>
    </row>
    <row r="116" spans="1:15" x14ac:dyDescent="0.3">
      <c r="A116" s="70"/>
      <c r="B116" s="135" t="s">
        <v>66</v>
      </c>
      <c r="C116" s="150" t="str">
        <f t="shared" ref="C116:I116" si="42">C1</f>
        <v>Operating</v>
      </c>
      <c r="D116" s="150" t="str">
        <f t="shared" si="42"/>
        <v>Weights</v>
      </c>
      <c r="E116" s="150" t="str">
        <f t="shared" si="42"/>
        <v>SPED</v>
      </c>
      <c r="F116" s="150" t="str">
        <f t="shared" si="42"/>
        <v>NSLP</v>
      </c>
      <c r="G116" s="150"/>
      <c r="H116" s="150" t="str">
        <f t="shared" si="42"/>
        <v>Title</v>
      </c>
      <c r="I116" s="150" t="str">
        <f t="shared" si="42"/>
        <v>Total</v>
      </c>
      <c r="J116" s="230"/>
    </row>
    <row r="117" spans="1:15" hidden="1" x14ac:dyDescent="0.3">
      <c r="A117" s="67"/>
      <c r="B117" s="71" t="s">
        <v>67</v>
      </c>
      <c r="C117" s="143"/>
      <c r="D117" s="143"/>
      <c r="E117" s="143"/>
      <c r="F117" s="143"/>
      <c r="G117" s="143"/>
      <c r="H117" s="143"/>
      <c r="I117" s="147">
        <f>SUM(C117:H117)</f>
        <v>0</v>
      </c>
      <c r="J117" s="225"/>
    </row>
    <row r="118" spans="1:15" x14ac:dyDescent="0.3">
      <c r="A118" s="67"/>
      <c r="B118" s="71" t="s">
        <v>37</v>
      </c>
      <c r="C118" s="143"/>
      <c r="D118" s="143"/>
      <c r="E118" s="143"/>
      <c r="F118" s="143"/>
      <c r="G118" s="143"/>
      <c r="H118" s="143"/>
      <c r="I118" s="147">
        <f t="shared" ref="I118:I126" si="43">SUM(C118:H118)</f>
        <v>0</v>
      </c>
      <c r="J118" s="225"/>
    </row>
    <row r="119" spans="1:15" x14ac:dyDescent="0.3">
      <c r="A119" s="67"/>
      <c r="B119" s="71" t="s">
        <v>38</v>
      </c>
      <c r="C119" s="143"/>
      <c r="D119" s="143"/>
      <c r="E119" s="143"/>
      <c r="F119" s="143"/>
      <c r="G119" s="143"/>
      <c r="H119" s="143"/>
      <c r="I119" s="147">
        <f t="shared" si="43"/>
        <v>0</v>
      </c>
      <c r="J119" s="225"/>
    </row>
    <row r="120" spans="1:15" x14ac:dyDescent="0.3">
      <c r="A120" s="67"/>
      <c r="B120" s="71" t="s">
        <v>39</v>
      </c>
      <c r="C120" s="143"/>
      <c r="D120" s="143"/>
      <c r="E120" s="143"/>
      <c r="F120" s="143"/>
      <c r="G120" s="143"/>
      <c r="H120" s="143"/>
      <c r="I120" s="147">
        <f t="shared" si="43"/>
        <v>0</v>
      </c>
      <c r="J120" s="225"/>
    </row>
    <row r="121" spans="1:15" x14ac:dyDescent="0.3">
      <c r="A121" s="67"/>
      <c r="B121" s="71" t="s">
        <v>40</v>
      </c>
      <c r="C121" s="143"/>
      <c r="D121" s="143"/>
      <c r="E121" s="143"/>
      <c r="F121" s="143"/>
      <c r="G121" s="143"/>
      <c r="H121" s="143"/>
      <c r="I121" s="147">
        <f t="shared" si="43"/>
        <v>0</v>
      </c>
      <c r="J121" s="225"/>
    </row>
    <row r="122" spans="1:15" x14ac:dyDescent="0.3">
      <c r="A122" s="67"/>
      <c r="B122" s="71" t="s">
        <v>68</v>
      </c>
      <c r="C122" s="143"/>
      <c r="D122" s="143"/>
      <c r="E122" s="143"/>
      <c r="F122" s="143"/>
      <c r="G122" s="143"/>
      <c r="H122" s="143"/>
      <c r="I122" s="147">
        <f t="shared" si="43"/>
        <v>0</v>
      </c>
      <c r="J122" s="225"/>
    </row>
    <row r="123" spans="1:15" x14ac:dyDescent="0.3">
      <c r="A123" s="67"/>
      <c r="B123" s="71" t="s">
        <v>50</v>
      </c>
      <c r="C123" s="143">
        <v>0</v>
      </c>
      <c r="D123" s="143"/>
      <c r="E123" s="143"/>
      <c r="F123" s="143"/>
      <c r="G123" s="143"/>
      <c r="H123" s="143"/>
      <c r="I123" s="147">
        <f t="shared" si="43"/>
        <v>0</v>
      </c>
      <c r="J123" s="225"/>
    </row>
    <row r="124" spans="1:15" x14ac:dyDescent="0.3">
      <c r="A124" s="67"/>
      <c r="B124" s="71"/>
      <c r="C124" s="143"/>
      <c r="D124" s="143"/>
      <c r="E124" s="143"/>
      <c r="F124" s="143"/>
      <c r="G124" s="143"/>
      <c r="H124" s="143"/>
      <c r="I124" s="147"/>
      <c r="J124" s="225"/>
    </row>
    <row r="125" spans="1:15" x14ac:dyDescent="0.3">
      <c r="A125" s="67">
        <v>107</v>
      </c>
      <c r="B125" s="71" t="s">
        <v>69</v>
      </c>
      <c r="C125" s="143">
        <f>(12.5*6*185)*C52</f>
        <v>0</v>
      </c>
      <c r="D125" s="143"/>
      <c r="E125" s="143"/>
      <c r="F125" s="143"/>
      <c r="G125" s="143"/>
      <c r="H125" s="143"/>
      <c r="I125" s="147">
        <f t="shared" si="43"/>
        <v>0</v>
      </c>
      <c r="J125" s="225"/>
    </row>
    <row r="126" spans="1:15" x14ac:dyDescent="0.3">
      <c r="A126" s="74"/>
      <c r="B126" s="71" t="s">
        <v>70</v>
      </c>
      <c r="C126" s="153">
        <v>0</v>
      </c>
      <c r="D126" s="143"/>
      <c r="E126" s="143"/>
      <c r="F126" s="143"/>
      <c r="G126" s="143"/>
      <c r="H126" s="143"/>
      <c r="I126" s="147">
        <f t="shared" si="43"/>
        <v>0</v>
      </c>
      <c r="J126" s="225"/>
    </row>
    <row r="127" spans="1:15" x14ac:dyDescent="0.3">
      <c r="A127" s="63"/>
      <c r="B127" s="136" t="s">
        <v>66</v>
      </c>
      <c r="C127" s="160">
        <f t="shared" ref="C127:I127" si="44">SUM(C117:C126)</f>
        <v>0</v>
      </c>
      <c r="D127" s="160">
        <f t="shared" si="44"/>
        <v>0</v>
      </c>
      <c r="E127" s="160">
        <f t="shared" si="44"/>
        <v>0</v>
      </c>
      <c r="F127" s="160">
        <f t="shared" si="44"/>
        <v>0</v>
      </c>
      <c r="G127" s="160">
        <f t="shared" ref="G127" si="45">SUM(G117:G126)</f>
        <v>0</v>
      </c>
      <c r="H127" s="160">
        <f t="shared" si="44"/>
        <v>0</v>
      </c>
      <c r="I127" s="160">
        <f t="shared" si="44"/>
        <v>0</v>
      </c>
      <c r="J127" s="236"/>
    </row>
    <row r="128" spans="1:15" ht="15" thickBot="1" x14ac:dyDescent="0.35">
      <c r="A128" s="91"/>
      <c r="B128" s="92" t="s">
        <v>71</v>
      </c>
      <c r="C128" s="161">
        <f t="shared" ref="C128:I128" si="46">SUM(C115:C126)</f>
        <v>145833</v>
      </c>
      <c r="D128" s="161">
        <f t="shared" si="46"/>
        <v>0</v>
      </c>
      <c r="E128" s="161">
        <f t="shared" si="46"/>
        <v>0</v>
      </c>
      <c r="F128" s="161">
        <f t="shared" si="46"/>
        <v>0</v>
      </c>
      <c r="G128" s="161">
        <f t="shared" si="46"/>
        <v>20000</v>
      </c>
      <c r="H128" s="161">
        <f t="shared" si="46"/>
        <v>0</v>
      </c>
      <c r="I128" s="161">
        <f t="shared" si="46"/>
        <v>165833</v>
      </c>
      <c r="J128" s="225"/>
      <c r="K128" s="223">
        <f t="shared" ref="K128:O128" si="47">SUM(K129:K130)</f>
        <v>0.47249999999999998</v>
      </c>
      <c r="L128" s="223">
        <f t="shared" si="47"/>
        <v>0.47749999999999998</v>
      </c>
      <c r="M128" s="223">
        <f t="shared" si="47"/>
        <v>0.48249999999999998</v>
      </c>
      <c r="N128" s="223">
        <f t="shared" si="47"/>
        <v>0.48749999999999999</v>
      </c>
      <c r="O128" s="223">
        <f t="shared" si="47"/>
        <v>0.49249999999999999</v>
      </c>
    </row>
    <row r="129" spans="1:15" x14ac:dyDescent="0.3">
      <c r="A129" s="78">
        <v>230</v>
      </c>
      <c r="B129" s="71" t="s">
        <v>340</v>
      </c>
      <c r="C129" s="157">
        <v>0</v>
      </c>
      <c r="D129" s="157"/>
      <c r="E129" s="157"/>
      <c r="F129" s="157"/>
      <c r="G129" s="157"/>
      <c r="H129" s="157"/>
      <c r="I129" s="143">
        <f>SUM(C129:H129)</f>
        <v>0</v>
      </c>
      <c r="J129" s="225"/>
      <c r="K129" s="223">
        <v>0.29249999999999998</v>
      </c>
      <c r="L129" s="223">
        <f>K129</f>
        <v>0.29249999999999998</v>
      </c>
      <c r="M129" s="223">
        <f>L129</f>
        <v>0.29249999999999998</v>
      </c>
      <c r="N129" s="223">
        <f>M129</f>
        <v>0.29249999999999998</v>
      </c>
      <c r="O129" s="223">
        <f>N129</f>
        <v>0.29249999999999998</v>
      </c>
    </row>
    <row r="130" spans="1:15" x14ac:dyDescent="0.3">
      <c r="A130" s="94"/>
      <c r="B130" s="71" t="s">
        <v>73</v>
      </c>
      <c r="C130" s="143">
        <f>C128*0.18</f>
        <v>26249.94</v>
      </c>
      <c r="D130" s="143"/>
      <c r="E130" s="143"/>
      <c r="F130" s="143"/>
      <c r="G130" s="143">
        <v>9575</v>
      </c>
      <c r="H130" s="143"/>
      <c r="I130" s="143">
        <f t="shared" ref="I130:I134" si="48">SUM(C130:H130)</f>
        <v>35824.94</v>
      </c>
      <c r="J130" s="225"/>
      <c r="K130" s="223">
        <v>0.18</v>
      </c>
      <c r="L130" s="223">
        <f>K130+0.5%</f>
        <v>0.185</v>
      </c>
      <c r="M130" s="223">
        <f>L130+0.5%</f>
        <v>0.19</v>
      </c>
      <c r="N130" s="223">
        <f>M130+0.5%</f>
        <v>0.19500000000000001</v>
      </c>
      <c r="O130" s="223">
        <f>N130+0.5%</f>
        <v>0.2</v>
      </c>
    </row>
    <row r="131" spans="1:15" x14ac:dyDescent="0.3">
      <c r="A131" s="67">
        <v>150</v>
      </c>
      <c r="B131" s="71" t="s">
        <v>74</v>
      </c>
      <c r="C131" s="145">
        <v>0</v>
      </c>
      <c r="D131" s="145"/>
      <c r="E131" s="145"/>
      <c r="F131" s="145"/>
      <c r="G131" s="145"/>
      <c r="H131" s="145"/>
      <c r="I131" s="143">
        <f t="shared" si="48"/>
        <v>0</v>
      </c>
      <c r="J131" s="225"/>
    </row>
    <row r="132" spans="1:15" x14ac:dyDescent="0.3">
      <c r="A132" s="67"/>
      <c r="B132" s="71" t="s">
        <v>75</v>
      </c>
      <c r="C132" s="143">
        <v>15500</v>
      </c>
      <c r="D132" s="145"/>
      <c r="E132" s="145"/>
      <c r="F132" s="145"/>
      <c r="G132" s="145">
        <v>15500</v>
      </c>
      <c r="H132" s="145"/>
      <c r="I132" s="143">
        <f t="shared" si="48"/>
        <v>31000</v>
      </c>
      <c r="J132" s="225"/>
    </row>
    <row r="133" spans="1:15" x14ac:dyDescent="0.3">
      <c r="A133" s="67">
        <v>250</v>
      </c>
      <c r="B133" s="71" t="s">
        <v>76</v>
      </c>
      <c r="C133" s="143">
        <v>0</v>
      </c>
      <c r="D133" s="145"/>
      <c r="E133" s="145"/>
      <c r="F133" s="145"/>
      <c r="G133" s="145"/>
      <c r="H133" s="145"/>
      <c r="I133" s="143">
        <f t="shared" si="48"/>
        <v>0</v>
      </c>
      <c r="J133" s="225"/>
    </row>
    <row r="134" spans="1:15" ht="15" thickBot="1" x14ac:dyDescent="0.35">
      <c r="A134" s="74"/>
      <c r="B134" s="71" t="s">
        <v>77</v>
      </c>
      <c r="C134" s="153">
        <f>(165*10*C37)-C126</f>
        <v>0</v>
      </c>
      <c r="D134" s="145"/>
      <c r="E134" s="145"/>
      <c r="F134" s="145"/>
      <c r="G134" s="153"/>
      <c r="H134" s="145"/>
      <c r="I134" s="143">
        <f t="shared" si="48"/>
        <v>0</v>
      </c>
      <c r="J134" s="225"/>
    </row>
    <row r="135" spans="1:15" ht="15" thickBot="1" x14ac:dyDescent="0.35">
      <c r="A135" s="95"/>
      <c r="B135" s="96" t="s">
        <v>438</v>
      </c>
      <c r="C135" s="105">
        <f>SUM(C129:C134)</f>
        <v>41749.94</v>
      </c>
      <c r="D135" s="105">
        <f t="shared" ref="D135:I135" si="49">SUM(D129:D134)</f>
        <v>0</v>
      </c>
      <c r="E135" s="105">
        <f t="shared" si="49"/>
        <v>0</v>
      </c>
      <c r="F135" s="105">
        <f t="shared" si="49"/>
        <v>0</v>
      </c>
      <c r="G135" s="105">
        <f t="shared" si="49"/>
        <v>25075</v>
      </c>
      <c r="H135" s="105">
        <f t="shared" si="49"/>
        <v>0</v>
      </c>
      <c r="I135" s="105">
        <f t="shared" si="49"/>
        <v>66824.94</v>
      </c>
      <c r="J135" s="225"/>
    </row>
    <row r="136" spans="1:15" ht="15" thickBot="1" x14ac:dyDescent="0.35">
      <c r="A136" s="95"/>
      <c r="B136" s="96" t="s">
        <v>78</v>
      </c>
      <c r="C136" s="483">
        <f>C128+C135</f>
        <v>187582.94</v>
      </c>
      <c r="D136" s="483">
        <f t="shared" ref="D136:I136" si="50">D128+D135</f>
        <v>0</v>
      </c>
      <c r="E136" s="483">
        <f t="shared" si="50"/>
        <v>0</v>
      </c>
      <c r="F136" s="483">
        <f t="shared" si="50"/>
        <v>0</v>
      </c>
      <c r="G136" s="483">
        <f t="shared" si="50"/>
        <v>45075</v>
      </c>
      <c r="H136" s="483">
        <f t="shared" si="50"/>
        <v>0</v>
      </c>
      <c r="I136" s="483">
        <f t="shared" si="50"/>
        <v>232657.94</v>
      </c>
      <c r="J136" s="225"/>
    </row>
    <row r="137" spans="1:15" x14ac:dyDescent="0.3">
      <c r="A137" s="98"/>
      <c r="B137" s="99" t="s">
        <v>79</v>
      </c>
      <c r="C137" s="150" t="str">
        <f t="shared" ref="C137:I137" si="51">C1</f>
        <v>Operating</v>
      </c>
      <c r="D137" s="150" t="str">
        <f t="shared" si="51"/>
        <v>Weights</v>
      </c>
      <c r="E137" s="150" t="str">
        <f t="shared" si="51"/>
        <v>SPED</v>
      </c>
      <c r="F137" s="150" t="str">
        <f t="shared" si="51"/>
        <v>NSLP</v>
      </c>
      <c r="G137" s="150" t="str">
        <f t="shared" si="51"/>
        <v>CSP</v>
      </c>
      <c r="H137" s="150" t="str">
        <f t="shared" si="51"/>
        <v>Title</v>
      </c>
      <c r="I137" s="150" t="str">
        <f t="shared" si="51"/>
        <v>Total</v>
      </c>
      <c r="J137" s="230"/>
    </row>
    <row r="138" spans="1:15" x14ac:dyDescent="0.3">
      <c r="A138" s="94"/>
      <c r="B138" s="100" t="s">
        <v>80</v>
      </c>
      <c r="C138" s="143">
        <v>6000</v>
      </c>
      <c r="D138" s="145"/>
      <c r="E138" s="145"/>
      <c r="F138" s="145"/>
      <c r="G138" s="145"/>
      <c r="H138" s="145"/>
      <c r="I138" s="143">
        <f>SUM(C138:H138)</f>
        <v>6000</v>
      </c>
      <c r="J138" s="225"/>
    </row>
    <row r="139" spans="1:15" x14ac:dyDescent="0.3">
      <c r="A139" s="94"/>
      <c r="B139" s="101" t="s">
        <v>435</v>
      </c>
      <c r="C139" s="143">
        <v>0</v>
      </c>
      <c r="D139" s="145"/>
      <c r="E139" s="145"/>
      <c r="F139" s="145"/>
      <c r="G139" s="145"/>
      <c r="H139" s="145"/>
      <c r="I139" s="143">
        <f t="shared" ref="I139:I147" si="52">SUM(C139:H139)</f>
        <v>0</v>
      </c>
      <c r="J139" s="225"/>
    </row>
    <row r="140" spans="1:15" x14ac:dyDescent="0.3">
      <c r="A140" s="94"/>
      <c r="B140" s="410" t="s">
        <v>461</v>
      </c>
      <c r="C140" s="145">
        <f>ROUNDUP('FFE Summary'!H7,-2)</f>
        <v>0</v>
      </c>
      <c r="D140" s="145"/>
      <c r="E140" s="145"/>
      <c r="F140" s="145"/>
      <c r="G140" s="145"/>
      <c r="H140" s="145"/>
      <c r="I140" s="143">
        <f t="shared" si="52"/>
        <v>0</v>
      </c>
      <c r="J140" s="225"/>
    </row>
    <row r="141" spans="1:15" x14ac:dyDescent="0.3">
      <c r="A141" s="94"/>
      <c r="B141" s="409" t="s">
        <v>437</v>
      </c>
      <c r="C141" s="145">
        <v>240479</v>
      </c>
      <c r="D141" s="145"/>
      <c r="E141" s="145"/>
      <c r="F141" s="145"/>
      <c r="G141" s="145">
        <v>169937</v>
      </c>
      <c r="H141" s="145"/>
      <c r="I141" s="143">
        <f t="shared" si="52"/>
        <v>410416</v>
      </c>
      <c r="J141" s="225"/>
    </row>
    <row r="142" spans="1:15" x14ac:dyDescent="0.3">
      <c r="A142" s="67">
        <v>610</v>
      </c>
      <c r="B142" s="71" t="s">
        <v>83</v>
      </c>
      <c r="C142" s="143">
        <v>4000</v>
      </c>
      <c r="D142" s="145"/>
      <c r="E142" s="145"/>
      <c r="F142" s="145"/>
      <c r="G142" s="145">
        <v>450</v>
      </c>
      <c r="H142" s="145"/>
      <c r="I142" s="143">
        <f t="shared" si="52"/>
        <v>4450</v>
      </c>
      <c r="J142" s="225"/>
    </row>
    <row r="143" spans="1:15" x14ac:dyDescent="0.3">
      <c r="A143" s="67">
        <v>610</v>
      </c>
      <c r="B143" s="71" t="s">
        <v>84</v>
      </c>
      <c r="C143" s="143">
        <v>10000</v>
      </c>
      <c r="D143" s="145"/>
      <c r="E143" s="145"/>
      <c r="F143" s="145"/>
      <c r="G143" s="145"/>
      <c r="H143" s="145"/>
      <c r="I143" s="143">
        <f t="shared" si="52"/>
        <v>10000</v>
      </c>
      <c r="J143" s="225"/>
    </row>
    <row r="144" spans="1:15" x14ac:dyDescent="0.3">
      <c r="A144" s="67">
        <v>610</v>
      </c>
      <c r="B144" s="71" t="s">
        <v>85</v>
      </c>
      <c r="C144" s="143">
        <v>2000</v>
      </c>
      <c r="D144" s="145"/>
      <c r="E144" s="145"/>
      <c r="F144" s="145"/>
      <c r="G144" s="145"/>
      <c r="H144" s="145"/>
      <c r="I144" s="143">
        <f t="shared" si="52"/>
        <v>2000</v>
      </c>
      <c r="J144" s="225"/>
    </row>
    <row r="145" spans="1:17" x14ac:dyDescent="0.3">
      <c r="A145" s="67">
        <v>610</v>
      </c>
      <c r="B145" s="71" t="s">
        <v>86</v>
      </c>
      <c r="C145" s="143">
        <v>1500</v>
      </c>
      <c r="D145" s="145"/>
      <c r="E145" s="145"/>
      <c r="F145" s="145"/>
      <c r="G145" s="145"/>
      <c r="H145" s="145"/>
      <c r="I145" s="143">
        <f t="shared" si="52"/>
        <v>1500</v>
      </c>
      <c r="J145" s="225"/>
    </row>
    <row r="146" spans="1:17" x14ac:dyDescent="0.3">
      <c r="A146" s="67">
        <v>610</v>
      </c>
      <c r="B146" s="71" t="s">
        <v>87</v>
      </c>
      <c r="C146" s="143">
        <f>120*C22</f>
        <v>0</v>
      </c>
      <c r="D146" s="145"/>
      <c r="E146" s="145"/>
      <c r="F146" s="145"/>
      <c r="G146" s="145"/>
      <c r="H146" s="145"/>
      <c r="I146" s="143">
        <f t="shared" si="52"/>
        <v>0</v>
      </c>
      <c r="J146" s="225"/>
    </row>
    <row r="147" spans="1:17" ht="15" thickBot="1" x14ac:dyDescent="0.35">
      <c r="A147" s="102"/>
      <c r="B147" s="71" t="s">
        <v>88</v>
      </c>
      <c r="C147" s="153">
        <v>0</v>
      </c>
      <c r="D147" s="153"/>
      <c r="E147" s="153"/>
      <c r="F147" s="153"/>
      <c r="G147" s="153"/>
      <c r="H147" s="153"/>
      <c r="I147" s="143">
        <f t="shared" si="52"/>
        <v>0</v>
      </c>
      <c r="J147" s="225"/>
    </row>
    <row r="148" spans="1:17" s="222" customFormat="1" ht="15" thickBot="1" x14ac:dyDescent="0.35">
      <c r="A148" s="103"/>
      <c r="B148" s="104" t="s">
        <v>89</v>
      </c>
      <c r="C148" s="105">
        <f t="shared" ref="C148:I148" si="53">SUM(C138:C147)</f>
        <v>263979</v>
      </c>
      <c r="D148" s="105">
        <f t="shared" si="53"/>
        <v>0</v>
      </c>
      <c r="E148" s="105">
        <f t="shared" si="53"/>
        <v>0</v>
      </c>
      <c r="F148" s="105">
        <f t="shared" si="53"/>
        <v>0</v>
      </c>
      <c r="G148" s="105">
        <f t="shared" si="53"/>
        <v>170387</v>
      </c>
      <c r="H148" s="105">
        <f t="shared" si="53"/>
        <v>0</v>
      </c>
      <c r="I148" s="105">
        <f t="shared" si="53"/>
        <v>434366</v>
      </c>
      <c r="J148" s="237"/>
    </row>
    <row r="149" spans="1:17" s="222" customFormat="1" ht="15" thickBot="1" x14ac:dyDescent="0.35">
      <c r="A149" s="107"/>
      <c r="B149" s="108" t="s">
        <v>90</v>
      </c>
      <c r="C149" s="162"/>
      <c r="D149" s="162"/>
      <c r="E149" s="162"/>
      <c r="F149" s="162"/>
      <c r="G149" s="162"/>
      <c r="H149" s="162"/>
      <c r="I149" s="162"/>
      <c r="J149" s="237"/>
    </row>
    <row r="150" spans="1:17" s="222" customFormat="1" x14ac:dyDescent="0.3">
      <c r="A150" s="78">
        <v>320</v>
      </c>
      <c r="B150" s="71" t="s">
        <v>91</v>
      </c>
      <c r="C150" s="163">
        <v>0</v>
      </c>
      <c r="D150" s="145"/>
      <c r="E150" s="145"/>
      <c r="F150" s="145"/>
      <c r="G150" s="145"/>
      <c r="H150" s="145"/>
      <c r="I150" s="143">
        <f>SUM(C150:H150)</f>
        <v>0</v>
      </c>
      <c r="J150" s="237"/>
      <c r="K150" s="219"/>
    </row>
    <row r="151" spans="1:17" x14ac:dyDescent="0.3">
      <c r="A151" s="67">
        <v>300</v>
      </c>
      <c r="B151" s="71" t="s">
        <v>92</v>
      </c>
      <c r="C151" s="143">
        <f>210*C19</f>
        <v>0</v>
      </c>
      <c r="D151" s="143"/>
      <c r="E151" s="143"/>
      <c r="F151" s="143"/>
      <c r="G151" s="143"/>
      <c r="H151" s="143"/>
      <c r="I151" s="143">
        <f t="shared" ref="I151:I162" si="54">SUM(C151:H151)</f>
        <v>0</v>
      </c>
      <c r="J151" s="225"/>
    </row>
    <row r="152" spans="1:17" x14ac:dyDescent="0.3">
      <c r="A152" s="67">
        <v>310</v>
      </c>
      <c r="B152" s="71" t="s">
        <v>347</v>
      </c>
      <c r="C152" s="143"/>
      <c r="D152" s="143"/>
      <c r="E152" s="143"/>
      <c r="F152" s="143"/>
      <c r="G152" s="143"/>
      <c r="H152" s="143"/>
      <c r="I152" s="143">
        <f t="shared" si="54"/>
        <v>0</v>
      </c>
      <c r="J152" s="225"/>
      <c r="K152" s="259"/>
      <c r="L152" s="259"/>
      <c r="M152" s="259"/>
      <c r="N152" s="259"/>
      <c r="O152" s="259"/>
    </row>
    <row r="153" spans="1:17" x14ac:dyDescent="0.3">
      <c r="A153" s="67">
        <v>310</v>
      </c>
      <c r="B153" s="71" t="s">
        <v>224</v>
      </c>
      <c r="C153" s="143">
        <f>450*C19</f>
        <v>0</v>
      </c>
      <c r="D153" s="143"/>
      <c r="E153" s="143"/>
      <c r="F153" s="143"/>
      <c r="G153" s="143"/>
      <c r="H153" s="143"/>
      <c r="I153" s="143">
        <f t="shared" si="54"/>
        <v>0</v>
      </c>
      <c r="J153" s="225"/>
      <c r="K153" s="259"/>
      <c r="L153" s="259"/>
      <c r="M153" s="259"/>
      <c r="N153" s="259"/>
      <c r="O153" s="259"/>
      <c r="Q153" s="365"/>
    </row>
    <row r="154" spans="1:17" x14ac:dyDescent="0.3">
      <c r="A154" s="67">
        <v>310</v>
      </c>
      <c r="B154" s="71" t="s">
        <v>93</v>
      </c>
      <c r="C154" s="143">
        <v>0</v>
      </c>
      <c r="D154" s="143"/>
      <c r="E154" s="143"/>
      <c r="F154" s="143"/>
      <c r="G154" s="143"/>
      <c r="H154" s="143"/>
      <c r="I154" s="143">
        <f t="shared" si="54"/>
        <v>0</v>
      </c>
      <c r="J154" s="225"/>
      <c r="K154" s="167"/>
      <c r="L154" s="167"/>
      <c r="M154" s="167"/>
      <c r="N154" s="167"/>
      <c r="O154" s="167"/>
    </row>
    <row r="155" spans="1:17" x14ac:dyDescent="0.3">
      <c r="A155" s="67">
        <v>340</v>
      </c>
      <c r="B155" s="71" t="s">
        <v>94</v>
      </c>
      <c r="C155" s="143">
        <v>0</v>
      </c>
      <c r="D155" s="143"/>
      <c r="E155" s="143"/>
      <c r="F155" s="143"/>
      <c r="G155" s="143"/>
      <c r="H155" s="143"/>
      <c r="I155" s="143">
        <f t="shared" si="54"/>
        <v>0</v>
      </c>
      <c r="J155" s="225"/>
    </row>
    <row r="156" spans="1:17" x14ac:dyDescent="0.3">
      <c r="A156" s="67">
        <v>340</v>
      </c>
      <c r="B156" s="71" t="s">
        <v>95</v>
      </c>
      <c r="C156" s="143">
        <v>0</v>
      </c>
      <c r="D156" s="143"/>
      <c r="E156" s="143"/>
      <c r="F156" s="143"/>
      <c r="G156" s="143"/>
      <c r="H156" s="143"/>
      <c r="I156" s="143">
        <f t="shared" si="54"/>
        <v>0</v>
      </c>
      <c r="J156" s="225"/>
    </row>
    <row r="157" spans="1:17" x14ac:dyDescent="0.3">
      <c r="A157" s="67">
        <v>352</v>
      </c>
      <c r="B157" s="71" t="s">
        <v>96</v>
      </c>
      <c r="C157" s="143">
        <v>0</v>
      </c>
      <c r="D157" s="143"/>
      <c r="E157" s="143"/>
      <c r="F157" s="143"/>
      <c r="G157" s="143"/>
      <c r="H157" s="143"/>
      <c r="I157" s="143">
        <f t="shared" si="54"/>
        <v>0</v>
      </c>
      <c r="J157" s="225"/>
    </row>
    <row r="158" spans="1:17" x14ac:dyDescent="0.3">
      <c r="A158" s="67">
        <v>350</v>
      </c>
      <c r="B158" s="71" t="s">
        <v>97</v>
      </c>
      <c r="C158" s="143">
        <v>4425</v>
      </c>
      <c r="D158" s="143"/>
      <c r="E158" s="143"/>
      <c r="F158" s="143"/>
      <c r="G158" s="143">
        <v>21510</v>
      </c>
      <c r="H158" s="143"/>
      <c r="I158" s="143">
        <f t="shared" si="54"/>
        <v>25935</v>
      </c>
      <c r="J158" s="225"/>
    </row>
    <row r="159" spans="1:17" x14ac:dyDescent="0.3">
      <c r="A159" s="67">
        <v>591</v>
      </c>
      <c r="B159" s="71" t="s">
        <v>98</v>
      </c>
      <c r="C159" s="143">
        <f>C86*0.0125</f>
        <v>0</v>
      </c>
      <c r="D159" s="143"/>
      <c r="E159" s="143"/>
      <c r="F159" s="143"/>
      <c r="G159" s="143"/>
      <c r="H159" s="143"/>
      <c r="I159" s="143">
        <f t="shared" si="54"/>
        <v>0</v>
      </c>
      <c r="J159" s="238"/>
    </row>
    <row r="160" spans="1:17" x14ac:dyDescent="0.3">
      <c r="A160" s="67">
        <v>320</v>
      </c>
      <c r="B160" s="410" t="s">
        <v>341</v>
      </c>
      <c r="C160" s="142"/>
      <c r="D160" s="143"/>
      <c r="E160" s="143"/>
      <c r="F160" s="143"/>
      <c r="G160" s="143"/>
      <c r="H160" s="143"/>
      <c r="I160" s="143">
        <f t="shared" si="54"/>
        <v>0</v>
      </c>
      <c r="J160" s="238"/>
      <c r="K160" s="259"/>
      <c r="L160" s="259"/>
      <c r="M160" s="259"/>
      <c r="N160" s="259"/>
      <c r="O160" s="259"/>
    </row>
    <row r="161" spans="1:15" x14ac:dyDescent="0.3">
      <c r="A161" s="67">
        <v>330</v>
      </c>
      <c r="B161" s="410" t="s">
        <v>436</v>
      </c>
      <c r="C161" s="142"/>
      <c r="D161" s="143"/>
      <c r="E161" s="143"/>
      <c r="F161" s="143"/>
      <c r="G161" s="143"/>
      <c r="H161" s="143"/>
      <c r="I161" s="143">
        <f t="shared" si="54"/>
        <v>0</v>
      </c>
      <c r="J161" s="238"/>
      <c r="K161" s="259"/>
      <c r="L161" s="259"/>
      <c r="M161" s="259"/>
      <c r="N161" s="259"/>
      <c r="O161" s="259"/>
    </row>
    <row r="162" spans="1:15" ht="15" thickBot="1" x14ac:dyDescent="0.35">
      <c r="A162" s="67">
        <v>330</v>
      </c>
      <c r="B162" s="71" t="s">
        <v>381</v>
      </c>
      <c r="C162" s="145">
        <v>12500</v>
      </c>
      <c r="D162" s="143"/>
      <c r="E162" s="143"/>
      <c r="F162" s="143"/>
      <c r="G162" s="143"/>
      <c r="H162" s="143"/>
      <c r="I162" s="143">
        <f t="shared" si="54"/>
        <v>12500</v>
      </c>
      <c r="J162" s="238"/>
    </row>
    <row r="163" spans="1:15" ht="15" thickBot="1" x14ac:dyDescent="0.35">
      <c r="A163" s="103"/>
      <c r="B163" s="104" t="s">
        <v>101</v>
      </c>
      <c r="C163" s="105">
        <f t="shared" ref="C163:I163" si="55">SUM(C150:C162)</f>
        <v>16925</v>
      </c>
      <c r="D163" s="105">
        <f t="shared" si="55"/>
        <v>0</v>
      </c>
      <c r="E163" s="105">
        <f t="shared" si="55"/>
        <v>0</v>
      </c>
      <c r="F163" s="105">
        <f t="shared" si="55"/>
        <v>0</v>
      </c>
      <c r="G163" s="105">
        <f t="shared" si="55"/>
        <v>21510</v>
      </c>
      <c r="H163" s="105">
        <f t="shared" si="55"/>
        <v>0</v>
      </c>
      <c r="I163" s="105">
        <f t="shared" si="55"/>
        <v>38435</v>
      </c>
      <c r="J163" s="225"/>
      <c r="K163" s="260"/>
      <c r="L163" s="260"/>
      <c r="M163" s="260"/>
      <c r="N163" s="260"/>
      <c r="O163" s="260"/>
    </row>
    <row r="164" spans="1:15" ht="15" thickBot="1" x14ac:dyDescent="0.35">
      <c r="A164" s="107"/>
      <c r="B164" s="108" t="s">
        <v>102</v>
      </c>
      <c r="C164" s="150" t="str">
        <f t="shared" ref="C164:I164" si="56">C1</f>
        <v>Operating</v>
      </c>
      <c r="D164" s="150" t="str">
        <f t="shared" si="56"/>
        <v>Weights</v>
      </c>
      <c r="E164" s="150" t="str">
        <f t="shared" si="56"/>
        <v>SPED</v>
      </c>
      <c r="F164" s="150" t="str">
        <f t="shared" si="56"/>
        <v>NSLP</v>
      </c>
      <c r="G164" s="150" t="str">
        <f t="shared" si="56"/>
        <v>CSP</v>
      </c>
      <c r="H164" s="150" t="str">
        <f t="shared" si="56"/>
        <v>Title</v>
      </c>
      <c r="I164" s="150" t="str">
        <f t="shared" si="56"/>
        <v>Total</v>
      </c>
      <c r="J164" s="230"/>
    </row>
    <row r="165" spans="1:15" x14ac:dyDescent="0.3">
      <c r="A165" s="67">
        <v>533</v>
      </c>
      <c r="B165" s="71" t="s">
        <v>103</v>
      </c>
      <c r="C165" s="143">
        <v>0</v>
      </c>
      <c r="D165" s="143"/>
      <c r="E165" s="143"/>
      <c r="F165" s="143"/>
      <c r="G165" s="143"/>
      <c r="H165" s="143"/>
      <c r="I165" s="143">
        <f>SUM(C165:H165)</f>
        <v>0</v>
      </c>
      <c r="J165" s="225"/>
    </row>
    <row r="166" spans="1:15" x14ac:dyDescent="0.3">
      <c r="A166" s="67">
        <v>535</v>
      </c>
      <c r="B166" s="71" t="s">
        <v>104</v>
      </c>
      <c r="C166" s="143">
        <v>1125</v>
      </c>
      <c r="D166" s="143"/>
      <c r="E166" s="143"/>
      <c r="F166" s="143"/>
      <c r="G166" s="143"/>
      <c r="H166" s="143"/>
      <c r="I166" s="143">
        <f t="shared" ref="I166:I171" si="57">SUM(C166:H166)</f>
        <v>1125</v>
      </c>
      <c r="J166" s="225"/>
    </row>
    <row r="167" spans="1:15" x14ac:dyDescent="0.3">
      <c r="A167" s="67">
        <v>534</v>
      </c>
      <c r="B167" s="71" t="s">
        <v>105</v>
      </c>
      <c r="C167" s="143">
        <v>1500</v>
      </c>
      <c r="D167" s="143"/>
      <c r="E167" s="143"/>
      <c r="F167" s="143"/>
      <c r="G167" s="143"/>
      <c r="H167" s="143"/>
      <c r="I167" s="143">
        <f t="shared" si="57"/>
        <v>1500</v>
      </c>
      <c r="J167" s="225"/>
    </row>
    <row r="168" spans="1:15" x14ac:dyDescent="0.3">
      <c r="A168" s="67">
        <v>531</v>
      </c>
      <c r="B168" s="71" t="s">
        <v>106</v>
      </c>
      <c r="C168" s="143">
        <v>1500</v>
      </c>
      <c r="D168" s="143"/>
      <c r="E168" s="143"/>
      <c r="F168" s="143"/>
      <c r="G168" s="143"/>
      <c r="H168" s="143"/>
      <c r="I168" s="143">
        <f t="shared" si="57"/>
        <v>1500</v>
      </c>
      <c r="J168" s="225"/>
    </row>
    <row r="169" spans="1:15" x14ac:dyDescent="0.3">
      <c r="A169" s="67">
        <v>535</v>
      </c>
      <c r="B169" s="71" t="s">
        <v>107</v>
      </c>
      <c r="C169" s="143">
        <v>0</v>
      </c>
      <c r="D169" s="143"/>
      <c r="E169" s="143"/>
      <c r="F169" s="143"/>
      <c r="G169" s="143">
        <v>5000</v>
      </c>
      <c r="H169" s="143"/>
      <c r="I169" s="143">
        <f t="shared" si="57"/>
        <v>5000</v>
      </c>
      <c r="J169" s="225"/>
    </row>
    <row r="170" spans="1:15" x14ac:dyDescent="0.3">
      <c r="A170" s="67">
        <v>443</v>
      </c>
      <c r="B170" s="71" t="s">
        <v>108</v>
      </c>
      <c r="C170" s="143">
        <v>2000</v>
      </c>
      <c r="D170" s="143"/>
      <c r="E170" s="143"/>
      <c r="F170" s="143"/>
      <c r="G170" s="143"/>
      <c r="H170" s="143"/>
      <c r="I170" s="143">
        <f t="shared" si="57"/>
        <v>2000</v>
      </c>
      <c r="J170" s="225"/>
    </row>
    <row r="171" spans="1:15" ht="15" thickBot="1" x14ac:dyDescent="0.35">
      <c r="A171" s="67">
        <v>651</v>
      </c>
      <c r="B171" s="71" t="s">
        <v>109</v>
      </c>
      <c r="C171" s="145">
        <v>0</v>
      </c>
      <c r="D171" s="143"/>
      <c r="E171" s="143"/>
      <c r="F171" s="143"/>
      <c r="G171" s="143">
        <v>17986</v>
      </c>
      <c r="H171" s="143"/>
      <c r="I171" s="143">
        <f t="shared" si="57"/>
        <v>17986</v>
      </c>
      <c r="J171" s="225"/>
    </row>
    <row r="172" spans="1:15" ht="15" thickBot="1" x14ac:dyDescent="0.35">
      <c r="A172" s="103"/>
      <c r="B172" s="104" t="s">
        <v>110</v>
      </c>
      <c r="C172" s="105">
        <f t="shared" ref="C172:I172" si="58">SUM(C165:C171)</f>
        <v>6125</v>
      </c>
      <c r="D172" s="105">
        <f t="shared" si="58"/>
        <v>0</v>
      </c>
      <c r="E172" s="105">
        <f t="shared" si="58"/>
        <v>0</v>
      </c>
      <c r="F172" s="105">
        <f t="shared" si="58"/>
        <v>0</v>
      </c>
      <c r="G172" s="105">
        <f t="shared" si="58"/>
        <v>22986</v>
      </c>
      <c r="H172" s="105">
        <f t="shared" si="58"/>
        <v>0</v>
      </c>
      <c r="I172" s="105">
        <f t="shared" si="58"/>
        <v>29111</v>
      </c>
      <c r="J172" s="225"/>
    </row>
    <row r="173" spans="1:15" ht="15" thickBot="1" x14ac:dyDescent="0.35">
      <c r="A173" s="107"/>
      <c r="B173" s="108" t="s">
        <v>111</v>
      </c>
      <c r="C173" s="162"/>
      <c r="D173" s="162"/>
      <c r="E173" s="162"/>
      <c r="F173" s="162"/>
      <c r="G173" s="162"/>
      <c r="H173" s="162"/>
      <c r="I173" s="162"/>
      <c r="J173" s="225"/>
    </row>
    <row r="174" spans="1:15" x14ac:dyDescent="0.3">
      <c r="A174" s="67">
        <v>521</v>
      </c>
      <c r="B174" s="71" t="s">
        <v>410</v>
      </c>
      <c r="C174" s="145">
        <v>0</v>
      </c>
      <c r="D174" s="143"/>
      <c r="E174" s="143"/>
      <c r="F174" s="143"/>
      <c r="G174" s="143"/>
      <c r="H174" s="143"/>
      <c r="I174" s="143">
        <f>SUM(C174:H174)</f>
        <v>0</v>
      </c>
      <c r="J174" s="225"/>
    </row>
    <row r="175" spans="1:15" x14ac:dyDescent="0.3">
      <c r="A175" s="67">
        <v>522</v>
      </c>
      <c r="B175" s="71" t="s">
        <v>113</v>
      </c>
      <c r="C175" s="143"/>
      <c r="D175" s="143"/>
      <c r="E175" s="143"/>
      <c r="F175" s="143"/>
      <c r="G175" s="143"/>
      <c r="H175" s="143"/>
      <c r="I175" s="143">
        <f t="shared" ref="I175:I176" si="59">SUM(C175:H175)</f>
        <v>0</v>
      </c>
      <c r="J175" s="225"/>
      <c r="K175" s="408"/>
    </row>
    <row r="176" spans="1:15" ht="15" thickBot="1" x14ac:dyDescent="0.35">
      <c r="A176" s="67">
        <v>523</v>
      </c>
      <c r="B176" s="71" t="s">
        <v>114</v>
      </c>
      <c r="C176" s="143"/>
      <c r="D176" s="143"/>
      <c r="E176" s="143"/>
      <c r="F176" s="143"/>
      <c r="G176" s="143"/>
      <c r="H176" s="143"/>
      <c r="I176" s="143">
        <f t="shared" si="59"/>
        <v>0</v>
      </c>
      <c r="J176" s="225"/>
    </row>
    <row r="177" spans="1:13" ht="15" thickBot="1" x14ac:dyDescent="0.35">
      <c r="A177" s="103"/>
      <c r="B177" s="104" t="s">
        <v>115</v>
      </c>
      <c r="C177" s="105">
        <f t="shared" ref="C177:I177" si="60">SUM(C174:C176)</f>
        <v>0</v>
      </c>
      <c r="D177" s="105">
        <f t="shared" si="60"/>
        <v>0</v>
      </c>
      <c r="E177" s="105">
        <f t="shared" si="60"/>
        <v>0</v>
      </c>
      <c r="F177" s="105">
        <f t="shared" si="60"/>
        <v>0</v>
      </c>
      <c r="G177" s="105">
        <f t="shared" si="60"/>
        <v>0</v>
      </c>
      <c r="H177" s="105">
        <f t="shared" si="60"/>
        <v>0</v>
      </c>
      <c r="I177" s="105">
        <f t="shared" si="60"/>
        <v>0</v>
      </c>
      <c r="J177" s="225"/>
    </row>
    <row r="178" spans="1:13" ht="15" thickBot="1" x14ac:dyDescent="0.35">
      <c r="A178" s="107"/>
      <c r="B178" s="108" t="s">
        <v>116</v>
      </c>
      <c r="C178" s="162"/>
      <c r="D178" s="162"/>
      <c r="E178" s="162"/>
      <c r="F178" s="162"/>
      <c r="G178" s="162"/>
      <c r="H178" s="162"/>
      <c r="I178" s="162"/>
      <c r="J178" s="225"/>
    </row>
    <row r="179" spans="1:13" x14ac:dyDescent="0.3">
      <c r="A179" s="67">
        <v>570</v>
      </c>
      <c r="B179" s="71" t="s">
        <v>392</v>
      </c>
      <c r="C179" s="143">
        <v>5000</v>
      </c>
      <c r="D179" s="143"/>
      <c r="E179" s="143"/>
      <c r="F179" s="143"/>
      <c r="G179" s="143"/>
      <c r="H179" s="143"/>
      <c r="I179" s="143">
        <f>SUM(C179:H179)</f>
        <v>5000</v>
      </c>
      <c r="J179" s="239"/>
    </row>
    <row r="180" spans="1:13" x14ac:dyDescent="0.3">
      <c r="A180" s="67">
        <v>540</v>
      </c>
      <c r="B180" s="71" t="s">
        <v>118</v>
      </c>
      <c r="C180" s="143">
        <v>44055</v>
      </c>
      <c r="D180" s="143"/>
      <c r="E180" s="143"/>
      <c r="F180" s="143"/>
      <c r="G180" s="143"/>
      <c r="H180" s="143"/>
      <c r="I180" s="143">
        <f t="shared" ref="I180:I187" si="61">SUM(C180:H180)</f>
        <v>44055</v>
      </c>
      <c r="J180" s="225"/>
    </row>
    <row r="181" spans="1:13" x14ac:dyDescent="0.3">
      <c r="A181" s="67">
        <v>580</v>
      </c>
      <c r="B181" s="71" t="s">
        <v>119</v>
      </c>
      <c r="C181" s="143">
        <v>32200</v>
      </c>
      <c r="D181" s="143"/>
      <c r="E181" s="143"/>
      <c r="F181" s="143"/>
      <c r="G181" s="143">
        <v>2950</v>
      </c>
      <c r="H181" s="143"/>
      <c r="I181" s="143">
        <f t="shared" si="61"/>
        <v>35150</v>
      </c>
      <c r="J181" s="225"/>
    </row>
    <row r="182" spans="1:13" x14ac:dyDescent="0.3">
      <c r="A182" s="67">
        <v>340</v>
      </c>
      <c r="B182" s="71" t="s">
        <v>120</v>
      </c>
      <c r="C182" s="143">
        <v>0</v>
      </c>
      <c r="D182" s="143"/>
      <c r="E182" s="143"/>
      <c r="F182" s="143"/>
      <c r="G182" s="143"/>
      <c r="H182" s="143"/>
      <c r="I182" s="143">
        <f t="shared" si="61"/>
        <v>0</v>
      </c>
      <c r="J182" s="225"/>
    </row>
    <row r="183" spans="1:13" x14ac:dyDescent="0.3">
      <c r="A183" s="112">
        <v>810</v>
      </c>
      <c r="B183" s="71" t="s">
        <v>121</v>
      </c>
      <c r="C183" s="145">
        <v>0</v>
      </c>
      <c r="D183" s="143"/>
      <c r="E183" s="143"/>
      <c r="F183" s="143"/>
      <c r="G183" s="143"/>
      <c r="H183" s="143"/>
      <c r="I183" s="143">
        <f t="shared" si="61"/>
        <v>0</v>
      </c>
      <c r="J183" s="225"/>
    </row>
    <row r="184" spans="1:13" hidden="1" x14ac:dyDescent="0.3">
      <c r="A184" s="94"/>
      <c r="B184" s="71" t="s">
        <v>122</v>
      </c>
      <c r="C184" s="145"/>
      <c r="D184" s="143"/>
      <c r="E184" s="143"/>
      <c r="F184" s="143"/>
      <c r="G184" s="143"/>
      <c r="H184" s="143"/>
      <c r="I184" s="143">
        <f t="shared" si="61"/>
        <v>0</v>
      </c>
      <c r="J184" s="225"/>
    </row>
    <row r="185" spans="1:13" x14ac:dyDescent="0.3">
      <c r="A185" s="112"/>
      <c r="B185" s="71" t="s">
        <v>123</v>
      </c>
      <c r="C185" s="145">
        <v>10000</v>
      </c>
      <c r="D185" s="143"/>
      <c r="E185" s="143"/>
      <c r="F185" s="143"/>
      <c r="G185" s="143"/>
      <c r="H185" s="143"/>
      <c r="I185" s="143">
        <f t="shared" si="61"/>
        <v>10000</v>
      </c>
      <c r="J185" s="225"/>
    </row>
    <row r="186" spans="1:13" x14ac:dyDescent="0.3">
      <c r="A186" s="112"/>
      <c r="B186" s="71" t="s">
        <v>124</v>
      </c>
      <c r="C186" s="145"/>
      <c r="D186" s="143"/>
      <c r="E186" s="143"/>
      <c r="F186" s="143"/>
      <c r="G186" s="143"/>
      <c r="H186" s="143"/>
      <c r="I186" s="143">
        <f t="shared" si="61"/>
        <v>0</v>
      </c>
      <c r="J186" s="225"/>
      <c r="K186" s="260"/>
      <c r="L186" s="260"/>
      <c r="M186" s="261"/>
    </row>
    <row r="187" spans="1:13" ht="15" thickBot="1" x14ac:dyDescent="0.35">
      <c r="A187" s="67">
        <v>900</v>
      </c>
      <c r="B187" s="71" t="s">
        <v>125</v>
      </c>
      <c r="C187" s="143">
        <v>3000</v>
      </c>
      <c r="D187" s="143"/>
      <c r="E187" s="143"/>
      <c r="F187" s="143"/>
      <c r="G187" s="143">
        <v>0</v>
      </c>
      <c r="H187" s="143"/>
      <c r="I187" s="143">
        <f t="shared" si="61"/>
        <v>3000</v>
      </c>
      <c r="J187" s="225"/>
    </row>
    <row r="188" spans="1:13" ht="15" thickBot="1" x14ac:dyDescent="0.35">
      <c r="A188" s="103"/>
      <c r="B188" s="104" t="s">
        <v>126</v>
      </c>
      <c r="C188" s="105">
        <f t="shared" ref="C188:I188" si="62">SUM(C179:C187)</f>
        <v>94255</v>
      </c>
      <c r="D188" s="105">
        <f t="shared" si="62"/>
        <v>0</v>
      </c>
      <c r="E188" s="105">
        <f t="shared" si="62"/>
        <v>0</v>
      </c>
      <c r="F188" s="105">
        <f t="shared" si="62"/>
        <v>0</v>
      </c>
      <c r="G188" s="105">
        <f t="shared" si="62"/>
        <v>2950</v>
      </c>
      <c r="H188" s="105">
        <f t="shared" si="62"/>
        <v>0</v>
      </c>
      <c r="I188" s="105">
        <f t="shared" si="62"/>
        <v>97205</v>
      </c>
      <c r="J188" s="225"/>
    </row>
    <row r="189" spans="1:13" ht="15" thickBot="1" x14ac:dyDescent="0.35">
      <c r="A189" s="107"/>
      <c r="B189" s="108" t="s">
        <v>127</v>
      </c>
      <c r="C189" s="150" t="str">
        <f t="shared" ref="C189:I189" si="63">C1</f>
        <v>Operating</v>
      </c>
      <c r="D189" s="150" t="str">
        <f t="shared" si="63"/>
        <v>Weights</v>
      </c>
      <c r="E189" s="150" t="str">
        <f t="shared" si="63"/>
        <v>SPED</v>
      </c>
      <c r="F189" s="150" t="str">
        <f t="shared" si="63"/>
        <v>NSLP</v>
      </c>
      <c r="G189" s="150" t="str">
        <f t="shared" si="63"/>
        <v>CSP</v>
      </c>
      <c r="H189" s="150" t="str">
        <f t="shared" si="63"/>
        <v>Title</v>
      </c>
      <c r="I189" s="150" t="str">
        <f t="shared" si="63"/>
        <v>Total</v>
      </c>
      <c r="J189" s="230"/>
    </row>
    <row r="190" spans="1:13" x14ac:dyDescent="0.3">
      <c r="A190" s="78">
        <v>622</v>
      </c>
      <c r="B190" s="71" t="s">
        <v>325</v>
      </c>
      <c r="C190" s="157">
        <v>0</v>
      </c>
      <c r="D190" s="143"/>
      <c r="E190" s="143"/>
      <c r="F190" s="143"/>
      <c r="G190" s="143"/>
      <c r="H190" s="143"/>
      <c r="I190" s="143">
        <f>SUM(C190:H190)</f>
        <v>0</v>
      </c>
      <c r="J190" s="225"/>
    </row>
    <row r="191" spans="1:13" x14ac:dyDescent="0.3">
      <c r="A191" s="67">
        <v>621</v>
      </c>
      <c r="B191" s="71" t="s">
        <v>129</v>
      </c>
      <c r="C191" s="157">
        <v>0</v>
      </c>
      <c r="D191" s="143"/>
      <c r="E191" s="143"/>
      <c r="F191" s="143"/>
      <c r="G191" s="143"/>
      <c r="H191" s="143"/>
      <c r="I191" s="143">
        <f t="shared" ref="I191:I200" si="64">SUM(C191:H191)</f>
        <v>0</v>
      </c>
      <c r="J191" s="225"/>
      <c r="L191" s="550">
        <v>-1228867</v>
      </c>
    </row>
    <row r="192" spans="1:13" x14ac:dyDescent="0.3">
      <c r="A192" s="67">
        <v>411</v>
      </c>
      <c r="B192" s="71" t="s">
        <v>130</v>
      </c>
      <c r="C192" s="157">
        <v>0</v>
      </c>
      <c r="D192" s="143"/>
      <c r="E192" s="143"/>
      <c r="F192" s="143"/>
      <c r="G192" s="143"/>
      <c r="H192" s="143"/>
      <c r="I192" s="143">
        <f t="shared" si="64"/>
        <v>0</v>
      </c>
      <c r="J192" s="225"/>
    </row>
    <row r="193" spans="1:15" x14ac:dyDescent="0.3">
      <c r="A193" s="67">
        <v>422</v>
      </c>
      <c r="B193" s="71" t="s">
        <v>131</v>
      </c>
      <c r="C193" s="157">
        <v>0</v>
      </c>
      <c r="D193" s="143"/>
      <c r="E193" s="143"/>
      <c r="F193" s="143"/>
      <c r="G193" s="143"/>
      <c r="H193" s="143"/>
      <c r="I193" s="143">
        <f t="shared" si="64"/>
        <v>0</v>
      </c>
      <c r="J193" s="225"/>
    </row>
    <row r="194" spans="1:15" x14ac:dyDescent="0.3">
      <c r="A194" s="67">
        <v>490</v>
      </c>
      <c r="B194" s="71" t="s">
        <v>132</v>
      </c>
      <c r="C194" s="143">
        <v>0</v>
      </c>
      <c r="D194" s="143"/>
      <c r="E194" s="143"/>
      <c r="F194" s="143"/>
      <c r="G194" s="143"/>
      <c r="H194" s="143"/>
      <c r="I194" s="143">
        <f t="shared" si="64"/>
        <v>0</v>
      </c>
      <c r="J194" s="225"/>
    </row>
    <row r="195" spans="1:15" x14ac:dyDescent="0.3">
      <c r="A195" s="67">
        <v>422</v>
      </c>
      <c r="B195" s="71" t="s">
        <v>133</v>
      </c>
      <c r="C195" s="142">
        <v>0</v>
      </c>
      <c r="D195" s="143"/>
      <c r="E195" s="143"/>
      <c r="F195" s="143"/>
      <c r="G195" s="143"/>
      <c r="H195" s="143"/>
      <c r="I195" s="143">
        <f t="shared" si="64"/>
        <v>0</v>
      </c>
      <c r="J195" s="237"/>
    </row>
    <row r="196" spans="1:15" x14ac:dyDescent="0.3">
      <c r="A196" s="67">
        <v>610</v>
      </c>
      <c r="B196" s="71" t="s">
        <v>134</v>
      </c>
      <c r="C196" s="143">
        <v>0</v>
      </c>
      <c r="D196" s="143"/>
      <c r="E196" s="143"/>
      <c r="F196" s="143"/>
      <c r="G196" s="143"/>
      <c r="H196" s="143"/>
      <c r="I196" s="143">
        <f t="shared" si="64"/>
        <v>0</v>
      </c>
      <c r="J196" s="237"/>
    </row>
    <row r="197" spans="1:15" x14ac:dyDescent="0.3">
      <c r="A197" s="67" t="s">
        <v>135</v>
      </c>
      <c r="B197" s="71" t="s">
        <v>136</v>
      </c>
      <c r="C197" s="143">
        <v>0</v>
      </c>
      <c r="D197" s="143"/>
      <c r="E197" s="143"/>
      <c r="F197" s="143"/>
      <c r="G197" s="143"/>
      <c r="H197" s="143"/>
      <c r="I197" s="143">
        <f t="shared" si="64"/>
        <v>0</v>
      </c>
      <c r="J197" s="237"/>
    </row>
    <row r="198" spans="1:15" hidden="1" x14ac:dyDescent="0.3">
      <c r="A198" s="113"/>
      <c r="B198" s="71" t="s">
        <v>137</v>
      </c>
      <c r="C198" s="143">
        <v>0</v>
      </c>
      <c r="D198" s="143"/>
      <c r="E198" s="143"/>
      <c r="F198" s="143"/>
      <c r="G198" s="143"/>
      <c r="H198" s="143"/>
      <c r="I198" s="143">
        <f t="shared" si="64"/>
        <v>0</v>
      </c>
      <c r="J198" s="237"/>
    </row>
    <row r="199" spans="1:15" x14ac:dyDescent="0.3">
      <c r="A199" s="67">
        <v>420</v>
      </c>
      <c r="B199" s="71" t="s">
        <v>138</v>
      </c>
      <c r="C199" s="142">
        <v>0</v>
      </c>
      <c r="D199" s="143"/>
      <c r="E199" s="143"/>
      <c r="F199" s="143"/>
      <c r="G199" s="143"/>
      <c r="H199" s="143"/>
      <c r="I199" s="143">
        <f t="shared" si="64"/>
        <v>0</v>
      </c>
      <c r="J199" s="225"/>
    </row>
    <row r="200" spans="1:15" ht="15" thickBot="1" x14ac:dyDescent="0.35">
      <c r="A200" s="74">
        <v>431</v>
      </c>
      <c r="B200" s="71" t="s">
        <v>139</v>
      </c>
      <c r="C200" s="164">
        <v>0</v>
      </c>
      <c r="D200" s="143"/>
      <c r="E200" s="143"/>
      <c r="F200" s="143"/>
      <c r="G200" s="143"/>
      <c r="H200" s="143"/>
      <c r="I200" s="143">
        <f t="shared" si="64"/>
        <v>0</v>
      </c>
      <c r="J200" s="225"/>
    </row>
    <row r="201" spans="1:15" ht="15" thickBot="1" x14ac:dyDescent="0.35">
      <c r="A201" s="95"/>
      <c r="B201" s="96" t="s">
        <v>411</v>
      </c>
      <c r="C201" s="105">
        <f>SUM(C190:C200)</f>
        <v>0</v>
      </c>
      <c r="D201" s="105">
        <f t="shared" ref="D201:I201" si="65">SUM(D190:D200)</f>
        <v>0</v>
      </c>
      <c r="E201" s="105">
        <f t="shared" si="65"/>
        <v>0</v>
      </c>
      <c r="F201" s="105">
        <f t="shared" si="65"/>
        <v>0</v>
      </c>
      <c r="G201" s="483">
        <f t="shared" ref="G201" si="66">SUM(G190:G200)</f>
        <v>0</v>
      </c>
      <c r="H201" s="105">
        <f t="shared" si="65"/>
        <v>0</v>
      </c>
      <c r="I201" s="105">
        <f t="shared" si="65"/>
        <v>0</v>
      </c>
      <c r="J201" s="225"/>
    </row>
    <row r="202" spans="1:15" ht="15" thickBot="1" x14ac:dyDescent="0.35">
      <c r="A202" s="114"/>
      <c r="B202" s="115"/>
      <c r="C202" s="154"/>
      <c r="D202" s="154"/>
      <c r="E202" s="154"/>
      <c r="F202" s="154"/>
      <c r="G202" s="154"/>
      <c r="H202" s="154"/>
      <c r="I202" s="154"/>
      <c r="J202" s="225"/>
    </row>
    <row r="203" spans="1:15" ht="15" thickBot="1" x14ac:dyDescent="0.35">
      <c r="A203" s="116"/>
      <c r="B203" s="117" t="s">
        <v>141</v>
      </c>
      <c r="C203" s="77">
        <f>C201+C188+C177+C172+C163+C148+C136</f>
        <v>568866.93999999994</v>
      </c>
      <c r="D203" s="77">
        <f t="shared" ref="D203:I203" si="67">D201+D188+D177+D172+D163+D148+D136</f>
        <v>0</v>
      </c>
      <c r="E203" s="77">
        <f t="shared" si="67"/>
        <v>0</v>
      </c>
      <c r="F203" s="77">
        <f t="shared" si="67"/>
        <v>0</v>
      </c>
      <c r="G203" s="77">
        <f t="shared" si="67"/>
        <v>262908</v>
      </c>
      <c r="H203" s="77">
        <f t="shared" si="67"/>
        <v>0</v>
      </c>
      <c r="I203" s="77">
        <f t="shared" si="67"/>
        <v>831774.94</v>
      </c>
      <c r="J203" s="225"/>
      <c r="M203" s="221"/>
    </row>
    <row r="204" spans="1:15" x14ac:dyDescent="0.3">
      <c r="A204" s="78"/>
      <c r="B204" s="118"/>
      <c r="C204" s="157"/>
      <c r="D204" s="157"/>
      <c r="E204" s="157"/>
      <c r="F204" s="157"/>
      <c r="G204" s="157"/>
      <c r="H204" s="157"/>
      <c r="I204" s="157"/>
      <c r="J204" s="225"/>
    </row>
    <row r="205" spans="1:15" x14ac:dyDescent="0.3">
      <c r="A205" s="67"/>
      <c r="B205" s="137"/>
      <c r="C205" s="143"/>
      <c r="D205" s="143"/>
      <c r="E205" s="143"/>
      <c r="F205" s="143"/>
      <c r="G205" s="143"/>
      <c r="H205" s="143"/>
      <c r="I205" s="143"/>
      <c r="J205" s="225"/>
    </row>
    <row r="206" spans="1:15" x14ac:dyDescent="0.3">
      <c r="A206" s="67"/>
      <c r="B206" s="138" t="s">
        <v>218</v>
      </c>
      <c r="C206" s="143">
        <f>1000*C5</f>
        <v>0</v>
      </c>
      <c r="D206" s="143"/>
      <c r="E206" s="143"/>
      <c r="F206" s="143"/>
      <c r="G206" s="143"/>
      <c r="H206" s="143"/>
      <c r="I206" s="143">
        <f>SUM(C206:H206)</f>
        <v>0</v>
      </c>
      <c r="K206" s="268"/>
      <c r="L206" s="238"/>
      <c r="M206" s="238"/>
      <c r="N206" s="238"/>
      <c r="O206" s="238"/>
    </row>
    <row r="207" spans="1:15" x14ac:dyDescent="0.3">
      <c r="A207" s="67"/>
      <c r="B207" s="138" t="s">
        <v>142</v>
      </c>
      <c r="C207" s="143">
        <v>0</v>
      </c>
      <c r="D207" s="143"/>
      <c r="E207" s="143"/>
      <c r="F207" s="143"/>
      <c r="G207" s="143"/>
      <c r="H207" s="143"/>
      <c r="I207" s="143">
        <f t="shared" ref="I207:I209" si="68">SUM(C207:H207)</f>
        <v>0</v>
      </c>
      <c r="J207" s="225"/>
      <c r="K207" s="429"/>
    </row>
    <row r="208" spans="1:15" x14ac:dyDescent="0.3">
      <c r="A208" s="67"/>
      <c r="B208" s="138" t="s">
        <v>383</v>
      </c>
      <c r="C208" s="143">
        <v>660000</v>
      </c>
      <c r="D208" s="143"/>
      <c r="E208" s="143"/>
      <c r="F208" s="143"/>
      <c r="G208" s="143"/>
      <c r="H208" s="143"/>
      <c r="I208" s="143">
        <f t="shared" si="68"/>
        <v>660000</v>
      </c>
      <c r="J208" s="430"/>
    </row>
    <row r="209" spans="1:10" x14ac:dyDescent="0.3">
      <c r="A209" s="67"/>
      <c r="B209" s="139"/>
      <c r="C209" s="143">
        <v>0</v>
      </c>
      <c r="D209" s="143">
        <v>0</v>
      </c>
      <c r="E209" s="143">
        <v>0</v>
      </c>
      <c r="F209" s="143">
        <v>0</v>
      </c>
      <c r="G209" s="143"/>
      <c r="H209" s="143">
        <v>0</v>
      </c>
      <c r="I209" s="143">
        <f t="shared" si="68"/>
        <v>0</v>
      </c>
      <c r="J209" s="225"/>
    </row>
    <row r="210" spans="1:10" ht="15" thickBot="1" x14ac:dyDescent="0.35">
      <c r="A210" s="74"/>
      <c r="B210" s="62"/>
      <c r="C210" s="153"/>
      <c r="D210" s="153"/>
      <c r="E210" s="153"/>
      <c r="F210" s="153"/>
      <c r="G210" s="153"/>
      <c r="H210" s="153"/>
      <c r="I210" s="153"/>
      <c r="J210" s="225"/>
    </row>
    <row r="211" spans="1:10" ht="15" thickBot="1" x14ac:dyDescent="0.35">
      <c r="A211" s="116"/>
      <c r="B211" s="122" t="s">
        <v>145</v>
      </c>
      <c r="C211" s="77">
        <f t="shared" ref="C211:H211" si="69">C85-C203-C206-C207-C208-C209</f>
        <v>6.0000000055879354E-2</v>
      </c>
      <c r="D211" s="77">
        <f t="shared" si="69"/>
        <v>0</v>
      </c>
      <c r="E211" s="77">
        <f t="shared" si="69"/>
        <v>0</v>
      </c>
      <c r="F211" s="77">
        <f t="shared" si="69"/>
        <v>0</v>
      </c>
      <c r="G211" s="77">
        <f t="shared" si="69"/>
        <v>0</v>
      </c>
      <c r="H211" s="77">
        <f t="shared" si="69"/>
        <v>0</v>
      </c>
      <c r="I211" s="77">
        <f>I85-I203-I206-I207-I208-I209</f>
        <v>6.0000000055879354E-2</v>
      </c>
      <c r="J211" s="225"/>
    </row>
    <row r="212" spans="1:10" ht="15" thickBot="1" x14ac:dyDescent="0.35">
      <c r="A212" s="78"/>
      <c r="B212" s="123"/>
      <c r="C212" s="165">
        <f t="shared" ref="C212:I212" si="70">C211/(C85-C74)</f>
        <v>4.8825462849827816E-8</v>
      </c>
      <c r="D212" s="165" t="e">
        <f t="shared" si="70"/>
        <v>#DIV/0!</v>
      </c>
      <c r="E212" s="165" t="e">
        <f t="shared" si="70"/>
        <v>#DIV/0!</v>
      </c>
      <c r="F212" s="165" t="e">
        <f t="shared" si="70"/>
        <v>#DIV/0!</v>
      </c>
      <c r="G212" s="165">
        <f t="shared" ref="G212" si="71">G211/(G85)</f>
        <v>0</v>
      </c>
      <c r="H212" s="165" t="e">
        <f t="shared" si="70"/>
        <v>#DIV/0!</v>
      </c>
      <c r="I212" s="165">
        <f t="shared" si="70"/>
        <v>4.0220542679612782E-8</v>
      </c>
      <c r="J212" s="225"/>
    </row>
    <row r="213" spans="1:10" x14ac:dyDescent="0.3">
      <c r="B213" s="3" t="str">
        <f t="shared" ref="B213:I213" si="72">B1</f>
        <v>Young Women's Leadership Academy - FY22</v>
      </c>
      <c r="C213" s="3" t="str">
        <f t="shared" si="72"/>
        <v>Operating</v>
      </c>
      <c r="D213" s="3" t="str">
        <f t="shared" si="72"/>
        <v>Weights</v>
      </c>
      <c r="E213" s="3" t="str">
        <f t="shared" si="72"/>
        <v>SPED</v>
      </c>
      <c r="F213" s="3" t="str">
        <f t="shared" si="72"/>
        <v>NSLP</v>
      </c>
      <c r="G213" s="3" t="str">
        <f t="shared" si="72"/>
        <v>CSP</v>
      </c>
      <c r="H213" s="3" t="str">
        <f t="shared" si="72"/>
        <v>Title</v>
      </c>
      <c r="I213" s="3" t="str">
        <f t="shared" si="72"/>
        <v>Total</v>
      </c>
      <c r="J213" s="230"/>
    </row>
    <row r="214" spans="1:10" hidden="1" x14ac:dyDescent="0.3"/>
    <row r="215" spans="1:10" hidden="1" x14ac:dyDescent="0.3"/>
    <row r="216" spans="1:10" hidden="1" x14ac:dyDescent="0.3">
      <c r="A216" s="113"/>
      <c r="B216" s="126" t="s">
        <v>146</v>
      </c>
      <c r="C216" s="7"/>
      <c r="D216" s="7"/>
      <c r="E216" s="7"/>
      <c r="F216" s="7"/>
      <c r="G216" s="7"/>
      <c r="H216" s="7"/>
      <c r="I216" s="7"/>
    </row>
    <row r="217" spans="1:10" hidden="1" x14ac:dyDescent="0.3">
      <c r="A217" s="113"/>
      <c r="B217" s="126" t="s">
        <v>147</v>
      </c>
      <c r="C217" s="7"/>
      <c r="D217" s="7"/>
      <c r="E217" s="7"/>
      <c r="F217" s="7"/>
      <c r="G217" s="7"/>
      <c r="H217" s="7"/>
      <c r="I217" s="7"/>
    </row>
    <row r="218" spans="1:10" hidden="1" x14ac:dyDescent="0.3"/>
    <row r="219" spans="1:10" ht="15" thickBot="1" x14ac:dyDescent="0.35"/>
    <row r="220" spans="1:10" ht="15" thickBot="1" x14ac:dyDescent="0.35">
      <c r="A220" s="116"/>
      <c r="B220" s="122" t="s">
        <v>49</v>
      </c>
      <c r="C220" s="269">
        <f>C74-((C125*1.4725)+C179)</f>
        <v>-5000</v>
      </c>
      <c r="D220" s="269">
        <f>D74-((D125*1.4725)+D179)</f>
        <v>0</v>
      </c>
      <c r="E220" s="269">
        <f>E74-((E125*1.4775)+E179)</f>
        <v>0</v>
      </c>
      <c r="F220" s="269">
        <f>F74-((F125*1.4825)+F179)</f>
        <v>0</v>
      </c>
      <c r="G220" s="269"/>
      <c r="H220" s="269">
        <f>H74-((H125*1.4875)+H179)</f>
        <v>0</v>
      </c>
      <c r="I220" s="269">
        <f>I74-((I125*1.4925)+I179)</f>
        <v>-5000</v>
      </c>
    </row>
    <row r="221" spans="1:10" ht="15" thickBot="1" x14ac:dyDescent="0.35">
      <c r="A221" s="116"/>
      <c r="B221" s="122" t="s">
        <v>16</v>
      </c>
      <c r="C221" s="269">
        <f>(C75+C76)-(((C109+C118+C119+C120+C121+C122)*1.4725)+C146+C151)</f>
        <v>0</v>
      </c>
      <c r="D221" s="269">
        <f>(D75+D76)-(((D109+D118+D119+D120+D121+D122)*1.4725)+D146+D151)</f>
        <v>0</v>
      </c>
      <c r="E221" s="269">
        <f>(E75+E76)-(((E109+E118+E119+E120+E121+E122)*1.4775)+E146+E151)</f>
        <v>0</v>
      </c>
      <c r="F221" s="269">
        <f>(F75+F76)-(((F109+F118+F119+F120+F121+F122)*1.4825)+F146+F151)</f>
        <v>0</v>
      </c>
      <c r="G221" s="269"/>
      <c r="H221" s="269">
        <f>(H75+H76)-(((H109+H118+H119+H120+H121+H122)*1.4875)+H146+H151)</f>
        <v>0</v>
      </c>
      <c r="I221" s="269">
        <f>(I75+I76)-(((I109+I118+I119+I120+I121+I122)*1.4925)+I146+I151)</f>
        <v>0</v>
      </c>
    </row>
    <row r="225" spans="2:9" x14ac:dyDescent="0.3">
      <c r="B225" s="246" t="s">
        <v>195</v>
      </c>
      <c r="C225" s="247"/>
      <c r="D225" s="247"/>
      <c r="E225" s="247"/>
      <c r="F225" s="247"/>
      <c r="G225" s="247"/>
      <c r="H225" s="247"/>
      <c r="I225" s="247">
        <f>I85-I203</f>
        <v>660000.06000000006</v>
      </c>
    </row>
    <row r="226" spans="2:9" x14ac:dyDescent="0.3">
      <c r="C226" s="248"/>
      <c r="D226" s="248"/>
      <c r="E226" s="248"/>
      <c r="F226" s="248"/>
      <c r="G226" s="248"/>
      <c r="H226" s="248"/>
      <c r="I226" s="248"/>
    </row>
    <row r="227" spans="2:9" x14ac:dyDescent="0.3">
      <c r="B227" s="62" t="str">
        <f>B206</f>
        <v>Scheduled Lease Payment (Portable Bldg)</v>
      </c>
      <c r="C227" s="249"/>
      <c r="D227" s="249"/>
      <c r="E227" s="249"/>
      <c r="F227" s="249"/>
      <c r="G227" s="249"/>
      <c r="H227" s="249"/>
      <c r="I227" s="249">
        <f t="shared" ref="I227:I229" si="73">I206</f>
        <v>0</v>
      </c>
    </row>
    <row r="228" spans="2:9" x14ac:dyDescent="0.3">
      <c r="B228" s="62" t="str">
        <f t="shared" ref="B228:B229" si="74">B207</f>
        <v>Scheduled Lease Payment</v>
      </c>
      <c r="C228" s="249"/>
      <c r="D228" s="249"/>
      <c r="E228" s="249"/>
      <c r="F228" s="249"/>
      <c r="G228" s="249"/>
      <c r="H228" s="249"/>
      <c r="I228" s="249">
        <f t="shared" si="73"/>
        <v>0</v>
      </c>
    </row>
    <row r="229" spans="2:9" x14ac:dyDescent="0.3">
      <c r="B229" s="62" t="str">
        <f t="shared" si="74"/>
        <v>Improvements / Loan</v>
      </c>
      <c r="C229" s="249"/>
      <c r="D229" s="249"/>
      <c r="E229" s="249"/>
      <c r="F229" s="249"/>
      <c r="G229" s="249"/>
      <c r="H229" s="249"/>
      <c r="I229" s="249">
        <f t="shared" si="73"/>
        <v>660000</v>
      </c>
    </row>
    <row r="230" spans="2:9" x14ac:dyDescent="0.3">
      <c r="B230" s="251" t="s">
        <v>196</v>
      </c>
      <c r="C230" s="252"/>
      <c r="D230" s="252"/>
      <c r="E230" s="252"/>
      <c r="F230" s="252"/>
      <c r="G230" s="252"/>
      <c r="H230" s="252"/>
      <c r="I230" s="252">
        <f t="shared" ref="I230" si="75">SUM(I227:I229)</f>
        <v>660000</v>
      </c>
    </row>
    <row r="231" spans="2:9" x14ac:dyDescent="0.3">
      <c r="C231" s="248"/>
      <c r="D231" s="248"/>
      <c r="E231" s="248"/>
      <c r="F231" s="248"/>
      <c r="G231" s="248"/>
      <c r="H231" s="248"/>
      <c r="I231" s="248"/>
    </row>
    <row r="232" spans="2:9" x14ac:dyDescent="0.3">
      <c r="B232" s="246" t="s">
        <v>197</v>
      </c>
      <c r="C232" s="253"/>
      <c r="D232" s="253"/>
      <c r="E232" s="253"/>
      <c r="F232" s="253"/>
      <c r="G232" s="253"/>
      <c r="H232" s="253"/>
      <c r="I232" s="253">
        <f t="shared" ref="I232" si="76">I225/I230</f>
        <v>1.0000000909090909</v>
      </c>
    </row>
    <row r="233" spans="2:9" x14ac:dyDescent="0.3">
      <c r="C233" s="248"/>
      <c r="D233" s="248"/>
      <c r="E233" s="248"/>
      <c r="F233" s="248"/>
      <c r="G233" s="248"/>
      <c r="H233" s="248"/>
      <c r="I233" s="248"/>
    </row>
    <row r="234" spans="2:9" x14ac:dyDescent="0.3">
      <c r="B234" s="254" t="s">
        <v>198</v>
      </c>
      <c r="C234" s="254"/>
      <c r="D234" s="254"/>
      <c r="E234" s="254"/>
      <c r="F234" s="254"/>
      <c r="G234" s="254"/>
      <c r="H234" s="254"/>
      <c r="I234" s="254"/>
    </row>
    <row r="235" spans="2:9" x14ac:dyDescent="0.3">
      <c r="B235" s="62" t="s">
        <v>199</v>
      </c>
      <c r="C235" s="255"/>
      <c r="D235" s="255"/>
      <c r="E235" s="255"/>
      <c r="F235" s="255"/>
      <c r="G235" s="255"/>
      <c r="H235" s="255"/>
      <c r="I235" s="255">
        <f t="shared" ref="I235" si="77">H238</f>
        <v>0</v>
      </c>
    </row>
    <row r="236" spans="2:9" x14ac:dyDescent="0.3">
      <c r="B236" s="248" t="s">
        <v>200</v>
      </c>
      <c r="C236" s="256"/>
      <c r="D236" s="256"/>
      <c r="E236" s="256"/>
      <c r="F236" s="256"/>
      <c r="G236" s="256"/>
      <c r="H236" s="256"/>
      <c r="I236" s="256">
        <v>0</v>
      </c>
    </row>
    <row r="237" spans="2:9" x14ac:dyDescent="0.3">
      <c r="B237" s="248" t="s">
        <v>201</v>
      </c>
      <c r="C237" s="256"/>
      <c r="D237" s="256"/>
      <c r="E237" s="256"/>
      <c r="F237" s="256"/>
      <c r="G237" s="256"/>
      <c r="H237" s="256"/>
      <c r="I237" s="256">
        <f t="shared" ref="I237" si="78">I211</f>
        <v>6.0000000055879354E-2</v>
      </c>
    </row>
    <row r="238" spans="2:9" x14ac:dyDescent="0.3">
      <c r="B238" s="257" t="s">
        <v>202</v>
      </c>
      <c r="C238" s="258"/>
      <c r="D238" s="258"/>
      <c r="E238" s="258"/>
      <c r="F238" s="258"/>
      <c r="G238" s="258"/>
      <c r="H238" s="258"/>
      <c r="I238" s="258">
        <f t="shared" ref="I238" si="79">I235+I236+I237</f>
        <v>6.0000000055879354E-2</v>
      </c>
    </row>
    <row r="239" spans="2:9" x14ac:dyDescent="0.3">
      <c r="B239" s="246" t="s">
        <v>203</v>
      </c>
      <c r="C239" s="253"/>
      <c r="D239" s="253"/>
      <c r="E239" s="253"/>
      <c r="F239" s="253"/>
      <c r="G239" s="253"/>
      <c r="H239" s="253"/>
      <c r="I239" s="253">
        <f t="shared" ref="I239" si="80">I238/((SUM(I203:I209))/365)</f>
        <v>1.4680498668516287E-5</v>
      </c>
    </row>
    <row r="241" spans="2:11" x14ac:dyDescent="0.3">
      <c r="D241" s="261"/>
      <c r="E241" s="261"/>
      <c r="F241" s="261"/>
      <c r="G241" s="261"/>
      <c r="H241" s="261"/>
      <c r="I241" s="261"/>
    </row>
    <row r="242" spans="2:11" x14ac:dyDescent="0.3">
      <c r="B242" s="377" t="s">
        <v>308</v>
      </c>
      <c r="C242" s="261"/>
      <c r="D242" s="435"/>
      <c r="E242" s="435"/>
      <c r="F242" s="435"/>
      <c r="G242" s="435"/>
      <c r="H242" s="435"/>
      <c r="I242" s="261">
        <f t="shared" ref="I242" si="81">I128/SUM(I203:I208)</f>
        <v>0.11116489193738568</v>
      </c>
      <c r="J242" s="219"/>
      <c r="K242" s="223"/>
    </row>
    <row r="243" spans="2:11" x14ac:dyDescent="0.3">
      <c r="B243" s="377" t="s">
        <v>231</v>
      </c>
      <c r="C243" s="261"/>
      <c r="D243" s="435"/>
      <c r="E243" s="435"/>
      <c r="F243" s="435"/>
      <c r="G243" s="435"/>
      <c r="H243" s="435"/>
      <c r="I243" s="261">
        <f>SUM(I129:I132)/SUM(I203:I208)</f>
        <v>4.479559094885989E-2</v>
      </c>
      <c r="J243" s="219"/>
      <c r="K243" s="223"/>
    </row>
    <row r="244" spans="2:11" x14ac:dyDescent="0.3">
      <c r="B244" s="377" t="s">
        <v>93</v>
      </c>
      <c r="C244" s="261"/>
      <c r="D244" s="435"/>
      <c r="E244" s="435"/>
      <c r="F244" s="435"/>
      <c r="G244" s="435"/>
      <c r="H244" s="435"/>
      <c r="I244" s="261">
        <f>I154/SUM(I203:I208)</f>
        <v>0</v>
      </c>
      <c r="J244" s="219"/>
      <c r="K244" s="223"/>
    </row>
    <row r="245" spans="2:11" x14ac:dyDescent="0.3">
      <c r="B245" s="377" t="s">
        <v>309</v>
      </c>
      <c r="C245" s="261"/>
      <c r="D245" s="435"/>
      <c r="E245" s="435"/>
      <c r="F245" s="435"/>
      <c r="G245" s="435"/>
      <c r="H245" s="435"/>
      <c r="I245" s="261">
        <f>(I152+I153+I160+I162)/SUM(I203:I208)</f>
        <v>8.3792800541347082E-3</v>
      </c>
      <c r="J245" s="219"/>
      <c r="K245" s="223"/>
    </row>
    <row r="246" spans="2:11" x14ac:dyDescent="0.3">
      <c r="B246" s="377" t="s">
        <v>310</v>
      </c>
      <c r="C246" s="261"/>
      <c r="D246" s="435"/>
      <c r="E246" s="435"/>
      <c r="F246" s="435"/>
      <c r="G246" s="435"/>
      <c r="H246" s="435"/>
      <c r="I246" s="261">
        <f>(I151+I150)/SUM(I203:I208)</f>
        <v>0</v>
      </c>
      <c r="J246" s="219"/>
      <c r="K246" s="223"/>
    </row>
    <row r="247" spans="2:11" x14ac:dyDescent="0.3">
      <c r="B247" s="377" t="s">
        <v>311</v>
      </c>
      <c r="C247" s="261"/>
      <c r="D247" s="435"/>
      <c r="E247" s="435"/>
      <c r="F247" s="435"/>
      <c r="G247" s="435"/>
      <c r="H247" s="435"/>
      <c r="I247" s="261">
        <f>(I170+I140)/SUM(I203:I208)</f>
        <v>1.3406848086615533E-3</v>
      </c>
      <c r="J247" s="219"/>
      <c r="K247" s="223"/>
    </row>
    <row r="248" spans="2:11" x14ac:dyDescent="0.3">
      <c r="B248" s="377" t="s">
        <v>79</v>
      </c>
      <c r="C248" s="261"/>
      <c r="D248" s="435"/>
      <c r="E248" s="435"/>
      <c r="F248" s="435"/>
      <c r="G248" s="435"/>
      <c r="H248" s="435"/>
      <c r="I248" s="261">
        <f>(I138+I142+I143+I144+I145+I146)/SUM(I203:I208)</f>
        <v>1.60547005837221E-2</v>
      </c>
      <c r="J248" s="219"/>
      <c r="K248" s="223"/>
    </row>
    <row r="249" spans="2:11" x14ac:dyDescent="0.3">
      <c r="B249" s="377" t="s">
        <v>312</v>
      </c>
      <c r="C249" s="261"/>
      <c r="D249" s="435"/>
      <c r="E249" s="435"/>
      <c r="F249" s="435"/>
      <c r="G249" s="435"/>
      <c r="H249" s="435"/>
      <c r="I249" s="261">
        <f>(I177+I201+I206+I207)/SUM(I203:I208)</f>
        <v>0</v>
      </c>
      <c r="J249" s="219"/>
      <c r="K249" s="223"/>
    </row>
    <row r="250" spans="2:11" x14ac:dyDescent="0.3">
      <c r="B250" s="377" t="s">
        <v>49</v>
      </c>
      <c r="C250" s="261"/>
      <c r="D250" s="435"/>
      <c r="E250" s="435"/>
      <c r="F250" s="435"/>
      <c r="G250" s="435"/>
      <c r="H250" s="435"/>
      <c r="I250" s="261">
        <f>(I179)/SUM(I203:I208)</f>
        <v>3.3517120216538833E-3</v>
      </c>
      <c r="J250" s="261"/>
      <c r="K250" s="223"/>
    </row>
    <row r="251" spans="2:11" x14ac:dyDescent="0.3">
      <c r="B251" s="377" t="s">
        <v>171</v>
      </c>
      <c r="C251" s="261"/>
      <c r="D251" s="435"/>
      <c r="E251" s="435"/>
      <c r="F251" s="435"/>
      <c r="G251" s="435"/>
      <c r="H251" s="435"/>
      <c r="I251" s="261">
        <f>(I147)/SUM(I203:I208)</f>
        <v>0</v>
      </c>
      <c r="J251" s="219"/>
      <c r="K251" s="223"/>
    </row>
    <row r="252" spans="2:11" x14ac:dyDescent="0.3">
      <c r="B252" s="377" t="s">
        <v>313</v>
      </c>
      <c r="C252" s="261"/>
      <c r="D252" s="435"/>
      <c r="E252" s="435"/>
      <c r="F252" s="435"/>
      <c r="G252" s="435"/>
      <c r="H252" s="435"/>
      <c r="I252" s="261">
        <f>I181/SUM(I203:I208)</f>
        <v>2.3562535512226798E-2</v>
      </c>
      <c r="J252" s="219"/>
      <c r="K252" s="223"/>
    </row>
    <row r="253" spans="2:11" x14ac:dyDescent="0.3">
      <c r="B253" s="377" t="s">
        <v>314</v>
      </c>
      <c r="C253" s="261"/>
      <c r="D253" s="435"/>
      <c r="E253" s="435"/>
      <c r="F253" s="435"/>
      <c r="G253" s="435"/>
      <c r="H253" s="435"/>
      <c r="I253" s="261">
        <f>(I155+I156)/SUM(I203:I208)</f>
        <v>0</v>
      </c>
      <c r="J253" s="219"/>
      <c r="K253" s="223"/>
    </row>
    <row r="254" spans="2:11" x14ac:dyDescent="0.3">
      <c r="B254" s="377" t="s">
        <v>315</v>
      </c>
      <c r="C254" s="261"/>
      <c r="D254" s="435"/>
      <c r="E254" s="435"/>
      <c r="F254" s="435"/>
      <c r="G254" s="435"/>
      <c r="H254" s="435"/>
      <c r="I254" s="261">
        <f>(I157+I158+I165+I166+I167+I169+I171)/SUM(I203:I208)</f>
        <v>3.4553469573634213E-2</v>
      </c>
      <c r="J254" s="219"/>
      <c r="K254" s="223"/>
    </row>
    <row r="255" spans="2:11" x14ac:dyDescent="0.3">
      <c r="B255" s="377" t="s">
        <v>116</v>
      </c>
      <c r="C255" s="261"/>
      <c r="D255" s="435"/>
      <c r="E255" s="435"/>
      <c r="F255" s="435"/>
      <c r="G255" s="435"/>
      <c r="H255" s="435"/>
      <c r="I255" s="261">
        <f>(I159+I168+I180+I182+I183+I185+I187+I133+I186)/SUM(I203:I208)</f>
        <v>3.9251899485588625E-2</v>
      </c>
      <c r="J255" s="261"/>
      <c r="K255" s="223"/>
    </row>
    <row r="256" spans="2:11" x14ac:dyDescent="0.3">
      <c r="B256"/>
      <c r="C256"/>
      <c r="D256"/>
      <c r="E256"/>
      <c r="F256"/>
      <c r="G256"/>
      <c r="H256"/>
      <c r="I256"/>
      <c r="J256" s="219"/>
    </row>
    <row r="257" spans="2:11" x14ac:dyDescent="0.3">
      <c r="B257"/>
      <c r="C257" s="378"/>
      <c r="D257" s="378"/>
      <c r="E257" s="378"/>
      <c r="F257" s="378"/>
      <c r="G257" s="378"/>
      <c r="H257" s="378"/>
      <c r="I257" s="378">
        <f t="shared" ref="I257" si="82">SUM(I242:I256)</f>
        <v>0.28245476492586746</v>
      </c>
      <c r="J257" s="219"/>
      <c r="K257" s="378"/>
    </row>
    <row r="259" spans="2:11" x14ac:dyDescent="0.3">
      <c r="D259" s="379"/>
      <c r="E259" s="379"/>
      <c r="F259" s="379"/>
      <c r="G259" s="379"/>
      <c r="H259" s="379"/>
      <c r="I259" s="379"/>
    </row>
  </sheetData>
  <pageMargins left="0.7" right="0.7" top="0.75" bottom="0.75" header="0.3" footer="0.3"/>
  <pageSetup scale="51" orientation="portrait" r:id="rId1"/>
  <rowBreaks count="2" manualBreakCount="2">
    <brk id="70" max="8" man="1"/>
    <brk id="148" max="8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39"/>
  <sheetViews>
    <sheetView zoomScale="75" zoomScaleNormal="75" workbookViewId="0">
      <selection activeCell="P29" sqref="P29"/>
    </sheetView>
  </sheetViews>
  <sheetFormatPr defaultRowHeight="14.4" x14ac:dyDescent="0.3"/>
  <cols>
    <col min="1" max="1" width="12.6640625" customWidth="1"/>
    <col min="2" max="2" width="29.21875" customWidth="1"/>
    <col min="3" max="7" width="15.77734375" customWidth="1"/>
    <col min="8" max="8" width="13.6640625" customWidth="1"/>
    <col min="9" max="9" width="14.5546875" customWidth="1"/>
    <col min="10" max="10" width="10.44140625" customWidth="1"/>
    <col min="11" max="11" width="12.21875" customWidth="1"/>
    <col min="12" max="12" width="12.77734375" bestFit="1" customWidth="1"/>
  </cols>
  <sheetData>
    <row r="1" spans="1:16" ht="28.8" x14ac:dyDescent="0.3">
      <c r="A1" s="262" t="s">
        <v>349</v>
      </c>
      <c r="B1" s="3" t="s">
        <v>380</v>
      </c>
      <c r="C1" s="3" t="s">
        <v>327</v>
      </c>
      <c r="D1" s="3" t="s">
        <v>149</v>
      </c>
      <c r="E1" s="3" t="s">
        <v>150</v>
      </c>
      <c r="F1" s="3" t="s">
        <v>151</v>
      </c>
      <c r="G1" s="3" t="s">
        <v>191</v>
      </c>
      <c r="H1" s="3" t="s">
        <v>194</v>
      </c>
      <c r="I1" s="3" t="s">
        <v>328</v>
      </c>
    </row>
    <row r="2" spans="1:16" x14ac:dyDescent="0.3">
      <c r="B2" s="416" t="s">
        <v>1</v>
      </c>
      <c r="C2" s="141">
        <f t="shared" ref="C2:I2" si="0">C3+C4+C5+C6+C7+C8+C9+C10+C11+C12+C13+C14+C15</f>
        <v>0</v>
      </c>
      <c r="D2" s="141">
        <f t="shared" si="0"/>
        <v>180</v>
      </c>
      <c r="E2" s="141">
        <f t="shared" si="0"/>
        <v>360</v>
      </c>
      <c r="F2" s="141">
        <f t="shared" si="0"/>
        <v>540</v>
      </c>
      <c r="G2" s="141">
        <f t="shared" si="0"/>
        <v>620</v>
      </c>
      <c r="H2" s="141">
        <f t="shared" si="0"/>
        <v>620</v>
      </c>
      <c r="I2" s="141">
        <f t="shared" si="0"/>
        <v>620</v>
      </c>
    </row>
    <row r="3" spans="1:16" x14ac:dyDescent="0.3">
      <c r="B3" s="12" t="s">
        <v>2</v>
      </c>
      <c r="C3" s="142">
        <v>0</v>
      </c>
      <c r="D3" s="415"/>
      <c r="E3" s="415"/>
      <c r="F3" s="415"/>
      <c r="G3" s="415"/>
      <c r="H3" s="415"/>
      <c r="I3" s="415"/>
      <c r="K3" s="14">
        <f t="shared" ref="K3:K8" si="1">D3/26</f>
        <v>0</v>
      </c>
      <c r="L3" s="14">
        <f t="shared" ref="L3:N6" si="2">E3/28</f>
        <v>0</v>
      </c>
      <c r="M3" s="14">
        <f t="shared" si="2"/>
        <v>0</v>
      </c>
      <c r="N3" s="14">
        <f t="shared" si="2"/>
        <v>0</v>
      </c>
      <c r="O3" s="14">
        <f t="shared" ref="O3:O8" si="3">H3/28</f>
        <v>0</v>
      </c>
      <c r="P3" s="14">
        <f t="shared" ref="P3:P8" si="4">I3/28</f>
        <v>0</v>
      </c>
    </row>
    <row r="4" spans="1:16" x14ac:dyDescent="0.3">
      <c r="B4" s="15" t="s">
        <v>3</v>
      </c>
      <c r="C4" s="142">
        <v>0</v>
      </c>
      <c r="D4" s="415"/>
      <c r="E4" s="415"/>
      <c r="F4" s="415"/>
      <c r="G4" s="415"/>
      <c r="H4" s="415"/>
      <c r="I4" s="415"/>
      <c r="K4" s="14">
        <f t="shared" si="1"/>
        <v>0</v>
      </c>
      <c r="L4" s="14">
        <f t="shared" si="2"/>
        <v>0</v>
      </c>
      <c r="M4" s="14">
        <f t="shared" si="2"/>
        <v>0</v>
      </c>
      <c r="N4" s="14">
        <f t="shared" si="2"/>
        <v>0</v>
      </c>
      <c r="O4" s="14">
        <f t="shared" si="3"/>
        <v>0</v>
      </c>
      <c r="P4" s="14">
        <f t="shared" si="4"/>
        <v>0</v>
      </c>
    </row>
    <row r="5" spans="1:16" x14ac:dyDescent="0.3">
      <c r="B5" s="15" t="s">
        <v>4</v>
      </c>
      <c r="C5" s="142">
        <v>0</v>
      </c>
      <c r="D5" s="415"/>
      <c r="E5" s="415"/>
      <c r="F5" s="415"/>
      <c r="G5" s="415"/>
      <c r="H5" s="415"/>
      <c r="I5" s="415"/>
      <c r="K5" s="14">
        <f t="shared" si="1"/>
        <v>0</v>
      </c>
      <c r="L5" s="14">
        <f t="shared" si="2"/>
        <v>0</v>
      </c>
      <c r="M5" s="14">
        <f t="shared" si="2"/>
        <v>0</v>
      </c>
      <c r="N5" s="14">
        <f t="shared" si="2"/>
        <v>0</v>
      </c>
      <c r="O5" s="14">
        <f t="shared" si="3"/>
        <v>0</v>
      </c>
      <c r="P5" s="14">
        <f t="shared" si="4"/>
        <v>0</v>
      </c>
    </row>
    <row r="6" spans="1:16" x14ac:dyDescent="0.3">
      <c r="B6" s="16" t="s">
        <v>5</v>
      </c>
      <c r="C6" s="142">
        <v>0</v>
      </c>
      <c r="D6" s="415"/>
      <c r="E6" s="415"/>
      <c r="F6" s="415"/>
      <c r="G6" s="415"/>
      <c r="H6" s="415"/>
      <c r="I6" s="415"/>
      <c r="K6" s="14">
        <f t="shared" si="1"/>
        <v>0</v>
      </c>
      <c r="L6" s="14">
        <f t="shared" si="2"/>
        <v>0</v>
      </c>
      <c r="M6" s="14">
        <f t="shared" si="2"/>
        <v>0</v>
      </c>
      <c r="N6" s="14">
        <f t="shared" si="2"/>
        <v>0</v>
      </c>
      <c r="O6" s="14">
        <f t="shared" si="3"/>
        <v>0</v>
      </c>
      <c r="P6" s="14">
        <f t="shared" si="4"/>
        <v>0</v>
      </c>
    </row>
    <row r="7" spans="1:16" x14ac:dyDescent="0.3">
      <c r="B7" s="16" t="s">
        <v>6</v>
      </c>
      <c r="C7" s="142">
        <v>0</v>
      </c>
      <c r="D7" s="415"/>
      <c r="E7" s="415"/>
      <c r="F7" s="415"/>
      <c r="G7" s="415"/>
      <c r="H7" s="415"/>
      <c r="I7" s="415"/>
      <c r="K7" s="14">
        <f t="shared" si="1"/>
        <v>0</v>
      </c>
      <c r="L7" s="14">
        <f>E7/26</f>
        <v>0</v>
      </c>
      <c r="M7" s="14">
        <f>F7/28</f>
        <v>0</v>
      </c>
      <c r="N7" s="14">
        <f>G7/28</f>
        <v>0</v>
      </c>
      <c r="O7" s="14">
        <f t="shared" si="3"/>
        <v>0</v>
      </c>
      <c r="P7" s="14">
        <f t="shared" si="4"/>
        <v>0</v>
      </c>
    </row>
    <row r="8" spans="1:16" x14ac:dyDescent="0.3">
      <c r="B8" s="16" t="s">
        <v>7</v>
      </c>
      <c r="C8" s="142">
        <v>0</v>
      </c>
      <c r="D8" s="415"/>
      <c r="E8" s="415"/>
      <c r="F8" s="415"/>
      <c r="G8" s="415"/>
      <c r="H8" s="415"/>
      <c r="I8" s="415"/>
      <c r="K8" s="14">
        <f t="shared" si="1"/>
        <v>0</v>
      </c>
      <c r="L8" s="14">
        <f>E8/26</f>
        <v>0</v>
      </c>
      <c r="M8" s="14">
        <f>F8/26</f>
        <v>0</v>
      </c>
      <c r="N8" s="14">
        <f>G8/28</f>
        <v>0</v>
      </c>
      <c r="O8" s="14">
        <f t="shared" si="3"/>
        <v>0</v>
      </c>
      <c r="P8" s="14">
        <f t="shared" si="4"/>
        <v>0</v>
      </c>
    </row>
    <row r="9" spans="1:16" x14ac:dyDescent="0.3">
      <c r="B9" s="16" t="s">
        <v>8</v>
      </c>
      <c r="C9" s="143">
        <v>0</v>
      </c>
      <c r="D9" s="143">
        <v>100</v>
      </c>
      <c r="E9" s="143">
        <f>100</f>
        <v>100</v>
      </c>
      <c r="F9" s="143">
        <f>100</f>
        <v>100</v>
      </c>
      <c r="G9" s="143">
        <f>100</f>
        <v>100</v>
      </c>
      <c r="H9" s="143">
        <f>100</f>
        <v>100</v>
      </c>
      <c r="I9" s="143">
        <f>100</f>
        <v>100</v>
      </c>
      <c r="K9" s="266">
        <f>D9/25</f>
        <v>4</v>
      </c>
      <c r="L9" s="266">
        <f t="shared" ref="L9:P9" si="5">E9/25</f>
        <v>4</v>
      </c>
      <c r="M9" s="266">
        <f t="shared" si="5"/>
        <v>4</v>
      </c>
      <c r="N9" s="266">
        <f t="shared" si="5"/>
        <v>4</v>
      </c>
      <c r="O9" s="266">
        <f t="shared" si="5"/>
        <v>4</v>
      </c>
      <c r="P9" s="266">
        <f t="shared" si="5"/>
        <v>4</v>
      </c>
    </row>
    <row r="10" spans="1:16" x14ac:dyDescent="0.3">
      <c r="B10" s="16" t="s">
        <v>9</v>
      </c>
      <c r="C10" s="143">
        <v>0</v>
      </c>
      <c r="D10" s="143">
        <v>0</v>
      </c>
      <c r="E10" s="143">
        <f>100</f>
        <v>100</v>
      </c>
      <c r="F10" s="143">
        <f>100</f>
        <v>100</v>
      </c>
      <c r="G10" s="143">
        <f>100</f>
        <v>100</v>
      </c>
      <c r="H10" s="143">
        <f>100</f>
        <v>100</v>
      </c>
      <c r="I10" s="143">
        <f>100</f>
        <v>100</v>
      </c>
      <c r="K10" s="266">
        <f t="shared" ref="K10:K11" si="6">D10/25</f>
        <v>0</v>
      </c>
      <c r="L10" s="266">
        <f t="shared" ref="L10:L11" si="7">E10/25</f>
        <v>4</v>
      </c>
      <c r="M10" s="266">
        <f t="shared" ref="M10:M11" si="8">F10/25</f>
        <v>4</v>
      </c>
      <c r="N10" s="266">
        <f t="shared" ref="N10:N11" si="9">G10/25</f>
        <v>4</v>
      </c>
      <c r="O10" s="266">
        <f t="shared" ref="O10:O11" si="10">H10/25</f>
        <v>4</v>
      </c>
      <c r="P10" s="266">
        <f t="shared" ref="P10:P11" si="11">I10/25</f>
        <v>4</v>
      </c>
    </row>
    <row r="11" spans="1:16" x14ac:dyDescent="0.3">
      <c r="B11" s="16" t="s">
        <v>10</v>
      </c>
      <c r="C11" s="143">
        <v>0</v>
      </c>
      <c r="D11" s="143">
        <v>0</v>
      </c>
      <c r="E11" s="143">
        <v>0</v>
      </c>
      <c r="F11" s="143">
        <f>100</f>
        <v>100</v>
      </c>
      <c r="G11" s="143">
        <f>100</f>
        <v>100</v>
      </c>
      <c r="H11" s="143">
        <f>100</f>
        <v>100</v>
      </c>
      <c r="I11" s="143">
        <f>100</f>
        <v>100</v>
      </c>
      <c r="K11" s="266">
        <f t="shared" si="6"/>
        <v>0</v>
      </c>
      <c r="L11" s="266">
        <f t="shared" si="7"/>
        <v>0</v>
      </c>
      <c r="M11" s="266">
        <f t="shared" si="8"/>
        <v>4</v>
      </c>
      <c r="N11" s="266">
        <f t="shared" si="9"/>
        <v>4</v>
      </c>
      <c r="O11" s="266">
        <f t="shared" si="10"/>
        <v>4</v>
      </c>
      <c r="P11" s="266">
        <f t="shared" si="11"/>
        <v>4</v>
      </c>
    </row>
    <row r="12" spans="1:16" x14ac:dyDescent="0.3">
      <c r="B12" s="16" t="s">
        <v>11</v>
      </c>
      <c r="C12" s="143">
        <v>0</v>
      </c>
      <c r="D12" s="143">
        <v>80</v>
      </c>
      <c r="E12" s="143">
        <f>80</f>
        <v>80</v>
      </c>
      <c r="F12" s="143">
        <f>80</f>
        <v>80</v>
      </c>
      <c r="G12" s="143">
        <f>80</f>
        <v>80</v>
      </c>
      <c r="H12" s="143">
        <f>80</f>
        <v>80</v>
      </c>
      <c r="I12" s="143">
        <f>80</f>
        <v>80</v>
      </c>
      <c r="K12" s="266">
        <f>D12/26.6666666</f>
        <v>3.0000000075000002</v>
      </c>
      <c r="L12" s="266">
        <f t="shared" ref="L12:P12" si="12">E12/26.6666666</f>
        <v>3.0000000075000002</v>
      </c>
      <c r="M12" s="266">
        <f t="shared" si="12"/>
        <v>3.0000000075000002</v>
      </c>
      <c r="N12" s="266">
        <f t="shared" si="12"/>
        <v>3.0000000075000002</v>
      </c>
      <c r="O12" s="266">
        <f t="shared" si="12"/>
        <v>3.0000000075000002</v>
      </c>
      <c r="P12" s="266">
        <f t="shared" si="12"/>
        <v>3.0000000075000002</v>
      </c>
    </row>
    <row r="13" spans="1:16" x14ac:dyDescent="0.3">
      <c r="B13" s="16" t="s">
        <v>12</v>
      </c>
      <c r="C13" s="143">
        <v>0</v>
      </c>
      <c r="D13" s="143">
        <v>0</v>
      </c>
      <c r="E13" s="143">
        <f>80</f>
        <v>80</v>
      </c>
      <c r="F13" s="143">
        <f>80</f>
        <v>80</v>
      </c>
      <c r="G13" s="143">
        <f>80</f>
        <v>80</v>
      </c>
      <c r="H13" s="143">
        <f>80</f>
        <v>80</v>
      </c>
      <c r="I13" s="143">
        <f>80</f>
        <v>80</v>
      </c>
      <c r="K13" s="266">
        <f t="shared" ref="K13:K15" si="13">D13/26.6666666</f>
        <v>0</v>
      </c>
      <c r="L13" s="266">
        <f t="shared" ref="L13:L15" si="14">E13/26.6666666</f>
        <v>3.0000000075000002</v>
      </c>
      <c r="M13" s="266">
        <f t="shared" ref="M13:M15" si="15">F13/26.6666666</f>
        <v>3.0000000075000002</v>
      </c>
      <c r="N13" s="266">
        <f t="shared" ref="N13:N15" si="16">G13/26.6666666</f>
        <v>3.0000000075000002</v>
      </c>
      <c r="O13" s="266">
        <f t="shared" ref="O13:O15" si="17">H13/26.6666666</f>
        <v>3.0000000075000002</v>
      </c>
      <c r="P13" s="266">
        <f t="shared" ref="P13:P15" si="18">I13/26.6666666</f>
        <v>3.0000000075000002</v>
      </c>
    </row>
    <row r="14" spans="1:16" x14ac:dyDescent="0.3">
      <c r="B14" s="16" t="s">
        <v>13</v>
      </c>
      <c r="C14" s="143">
        <v>0</v>
      </c>
      <c r="D14" s="143">
        <v>0</v>
      </c>
      <c r="E14" s="143">
        <v>0</v>
      </c>
      <c r="F14" s="143">
        <v>80</v>
      </c>
      <c r="G14" s="143">
        <v>80</v>
      </c>
      <c r="H14" s="143">
        <v>80</v>
      </c>
      <c r="I14" s="143">
        <v>80</v>
      </c>
      <c r="K14" s="266">
        <f t="shared" si="13"/>
        <v>0</v>
      </c>
      <c r="L14" s="266">
        <f t="shared" si="14"/>
        <v>0</v>
      </c>
      <c r="M14" s="266">
        <f t="shared" si="15"/>
        <v>3.0000000075000002</v>
      </c>
      <c r="N14" s="266">
        <f t="shared" si="16"/>
        <v>3.0000000075000002</v>
      </c>
      <c r="O14" s="266">
        <f t="shared" si="17"/>
        <v>3.0000000075000002</v>
      </c>
      <c r="P14" s="266">
        <f t="shared" si="18"/>
        <v>3.0000000075000002</v>
      </c>
    </row>
    <row r="15" spans="1:16" x14ac:dyDescent="0.3">
      <c r="B15" s="16" t="s">
        <v>14</v>
      </c>
      <c r="C15" s="143">
        <v>0</v>
      </c>
      <c r="D15" s="143">
        <v>0</v>
      </c>
      <c r="E15" s="143">
        <v>0</v>
      </c>
      <c r="F15" s="143">
        <v>0</v>
      </c>
      <c r="G15" s="143">
        <v>80</v>
      </c>
      <c r="H15" s="143">
        <v>80</v>
      </c>
      <c r="I15" s="143">
        <v>80</v>
      </c>
      <c r="K15" s="266">
        <f t="shared" si="13"/>
        <v>0</v>
      </c>
      <c r="L15" s="266">
        <f t="shared" si="14"/>
        <v>0</v>
      </c>
      <c r="M15" s="266">
        <f t="shared" si="15"/>
        <v>0</v>
      </c>
      <c r="N15" s="266">
        <f t="shared" si="16"/>
        <v>3.0000000075000002</v>
      </c>
      <c r="O15" s="266">
        <f t="shared" si="17"/>
        <v>3.0000000075000002</v>
      </c>
      <c r="P15" s="266">
        <f t="shared" si="18"/>
        <v>3.0000000075000002</v>
      </c>
    </row>
    <row r="16" spans="1:16" x14ac:dyDescent="0.3">
      <c r="B16" s="16" t="s">
        <v>1</v>
      </c>
      <c r="C16" s="141">
        <f t="shared" ref="C16:I16" si="19">SUM(C3:C15)</f>
        <v>0</v>
      </c>
      <c r="D16" s="141">
        <f t="shared" si="19"/>
        <v>180</v>
      </c>
      <c r="E16" s="141">
        <f t="shared" si="19"/>
        <v>360</v>
      </c>
      <c r="F16" s="141">
        <f t="shared" si="19"/>
        <v>540</v>
      </c>
      <c r="G16" s="141">
        <f t="shared" si="19"/>
        <v>620</v>
      </c>
      <c r="H16" s="141">
        <f t="shared" si="19"/>
        <v>620</v>
      </c>
      <c r="I16" s="141">
        <f t="shared" si="19"/>
        <v>620</v>
      </c>
      <c r="K16" s="266">
        <f t="shared" ref="K16:P16" si="20">SUM(K3:K15)</f>
        <v>7.0000000075000006</v>
      </c>
      <c r="L16" s="266">
        <f t="shared" si="20"/>
        <v>14.000000015000001</v>
      </c>
      <c r="M16" s="266">
        <f t="shared" si="20"/>
        <v>21.0000000225</v>
      </c>
      <c r="N16" s="266">
        <f t="shared" si="20"/>
        <v>24.000000029999999</v>
      </c>
      <c r="O16" s="266">
        <f t="shared" si="20"/>
        <v>24.000000029999999</v>
      </c>
      <c r="P16" s="266">
        <f t="shared" si="20"/>
        <v>24.000000029999999</v>
      </c>
    </row>
    <row r="20" spans="1:12" ht="29.4" thickBot="1" x14ac:dyDescent="0.35">
      <c r="A20" s="262" t="s">
        <v>419</v>
      </c>
    </row>
    <row r="21" spans="1:12" ht="21" thickBot="1" x14ac:dyDescent="0.4">
      <c r="B21" s="449"/>
      <c r="C21" s="552" t="s">
        <v>420</v>
      </c>
      <c r="D21" s="553"/>
      <c r="E21" s="553"/>
      <c r="F21" s="553"/>
      <c r="G21" s="553"/>
      <c r="H21" s="553"/>
      <c r="I21" s="553"/>
      <c r="J21" s="553"/>
      <c r="K21" s="553"/>
      <c r="L21" s="554"/>
    </row>
    <row r="22" spans="1:12" ht="15.6" x14ac:dyDescent="0.3">
      <c r="B22" s="450"/>
      <c r="C22" s="467" t="s">
        <v>149</v>
      </c>
      <c r="D22" s="467" t="s">
        <v>421</v>
      </c>
      <c r="E22" s="467" t="s">
        <v>150</v>
      </c>
      <c r="F22" s="467" t="s">
        <v>421</v>
      </c>
      <c r="G22" s="467" t="s">
        <v>151</v>
      </c>
      <c r="H22" s="467" t="s">
        <v>422</v>
      </c>
      <c r="I22" s="467" t="s">
        <v>191</v>
      </c>
      <c r="J22" s="467" t="s">
        <v>422</v>
      </c>
      <c r="K22" s="467" t="s">
        <v>194</v>
      </c>
      <c r="L22" s="468" t="s">
        <v>421</v>
      </c>
    </row>
    <row r="23" spans="1:12" ht="15.6" x14ac:dyDescent="0.3">
      <c r="B23" s="451" t="s">
        <v>1</v>
      </c>
      <c r="C23" s="453">
        <v>150</v>
      </c>
      <c r="D23" s="464"/>
      <c r="E23" s="452">
        <v>300</v>
      </c>
      <c r="F23" s="462"/>
      <c r="G23" s="464">
        <v>450</v>
      </c>
      <c r="H23" s="464"/>
      <c r="I23" s="464">
        <v>540</v>
      </c>
      <c r="J23" s="464"/>
      <c r="K23" s="464">
        <v>570</v>
      </c>
      <c r="L23" s="464"/>
    </row>
    <row r="24" spans="1:12" ht="15.6" x14ac:dyDescent="0.3">
      <c r="B24" s="451" t="s">
        <v>245</v>
      </c>
      <c r="C24" s="453">
        <v>0</v>
      </c>
      <c r="D24" s="464"/>
      <c r="E24" s="452">
        <v>0</v>
      </c>
      <c r="F24" s="462"/>
      <c r="G24" s="464">
        <v>0</v>
      </c>
      <c r="H24" s="464"/>
      <c r="I24" s="464">
        <v>0</v>
      </c>
      <c r="J24" s="464"/>
      <c r="K24" s="464">
        <v>0</v>
      </c>
      <c r="L24" s="464"/>
    </row>
    <row r="25" spans="1:12" ht="15.6" x14ac:dyDescent="0.3">
      <c r="B25" s="454" t="s">
        <v>2</v>
      </c>
      <c r="C25" s="455">
        <v>0</v>
      </c>
      <c r="D25" s="455"/>
      <c r="E25" s="458">
        <v>0</v>
      </c>
      <c r="F25" s="455"/>
      <c r="G25" s="455">
        <v>0</v>
      </c>
      <c r="H25" s="455"/>
      <c r="I25" s="455"/>
      <c r="J25" s="455"/>
      <c r="K25" s="455"/>
      <c r="L25" s="455"/>
    </row>
    <row r="26" spans="1:12" ht="15.6" x14ac:dyDescent="0.3">
      <c r="B26" s="456" t="s">
        <v>3</v>
      </c>
      <c r="C26" s="455">
        <v>0</v>
      </c>
      <c r="D26" s="455"/>
      <c r="E26" s="458">
        <v>0</v>
      </c>
      <c r="F26" s="455"/>
      <c r="G26" s="455">
        <v>0</v>
      </c>
      <c r="H26" s="455"/>
      <c r="I26" s="455"/>
      <c r="J26" s="455"/>
      <c r="K26" s="455"/>
      <c r="L26" s="455"/>
    </row>
    <row r="27" spans="1:12" ht="15.6" x14ac:dyDescent="0.3">
      <c r="B27" s="456" t="s">
        <v>4</v>
      </c>
      <c r="C27" s="455">
        <v>0</v>
      </c>
      <c r="D27" s="455"/>
      <c r="E27" s="458">
        <v>0</v>
      </c>
      <c r="F27" s="455"/>
      <c r="G27" s="455">
        <v>0</v>
      </c>
      <c r="H27" s="455"/>
      <c r="I27" s="455"/>
      <c r="J27" s="455"/>
      <c r="K27" s="455"/>
      <c r="L27" s="455"/>
    </row>
    <row r="28" spans="1:12" ht="15.6" x14ac:dyDescent="0.3">
      <c r="B28" s="457" t="s">
        <v>5</v>
      </c>
      <c r="C28" s="455">
        <v>0</v>
      </c>
      <c r="D28" s="455"/>
      <c r="E28" s="458">
        <v>0</v>
      </c>
      <c r="F28" s="458"/>
      <c r="G28" s="465">
        <v>0</v>
      </c>
      <c r="H28" s="465"/>
      <c r="I28" s="465"/>
      <c r="J28" s="465"/>
      <c r="K28" s="465"/>
      <c r="L28" s="465"/>
    </row>
    <row r="29" spans="1:12" ht="15.6" x14ac:dyDescent="0.3">
      <c r="B29" s="457" t="s">
        <v>6</v>
      </c>
      <c r="C29" s="455">
        <v>0</v>
      </c>
      <c r="D29" s="455"/>
      <c r="E29" s="458">
        <v>0</v>
      </c>
      <c r="F29" s="458"/>
      <c r="G29" s="465">
        <v>0</v>
      </c>
      <c r="H29" s="465"/>
      <c r="I29" s="465"/>
      <c r="J29" s="465"/>
      <c r="K29" s="465"/>
      <c r="L29" s="465"/>
    </row>
    <row r="30" spans="1:12" ht="15.6" x14ac:dyDescent="0.3">
      <c r="B30" s="457" t="s">
        <v>7</v>
      </c>
      <c r="C30" s="455">
        <v>0</v>
      </c>
      <c r="D30" s="455"/>
      <c r="E30" s="458">
        <v>0</v>
      </c>
      <c r="F30" s="458"/>
      <c r="G30" s="465">
        <v>0</v>
      </c>
      <c r="H30" s="465"/>
      <c r="I30" s="465"/>
      <c r="J30" s="465"/>
      <c r="K30" s="465"/>
      <c r="L30" s="465"/>
    </row>
    <row r="31" spans="1:12" ht="15.6" x14ac:dyDescent="0.3">
      <c r="B31" s="457" t="s">
        <v>8</v>
      </c>
      <c r="C31" s="455">
        <v>90</v>
      </c>
      <c r="D31" s="455">
        <v>3</v>
      </c>
      <c r="E31" s="458">
        <v>90</v>
      </c>
      <c r="F31" s="458">
        <v>3</v>
      </c>
      <c r="G31" s="465">
        <v>90</v>
      </c>
      <c r="H31" s="465">
        <v>3</v>
      </c>
      <c r="I31" s="465">
        <v>90</v>
      </c>
      <c r="J31" s="465">
        <v>3</v>
      </c>
      <c r="K31" s="465">
        <v>90</v>
      </c>
      <c r="L31" s="465">
        <v>3</v>
      </c>
    </row>
    <row r="32" spans="1:12" ht="15.6" x14ac:dyDescent="0.3">
      <c r="B32" s="457" t="s">
        <v>9</v>
      </c>
      <c r="C32" s="455">
        <v>0</v>
      </c>
      <c r="D32" s="455">
        <v>0</v>
      </c>
      <c r="E32" s="458">
        <v>90</v>
      </c>
      <c r="F32" s="458">
        <v>3</v>
      </c>
      <c r="G32" s="465">
        <v>90</v>
      </c>
      <c r="H32" s="465">
        <v>3</v>
      </c>
      <c r="I32" s="465">
        <v>90</v>
      </c>
      <c r="J32" s="465">
        <v>3</v>
      </c>
      <c r="K32" s="465">
        <v>90</v>
      </c>
      <c r="L32" s="465">
        <v>3</v>
      </c>
    </row>
    <row r="33" spans="2:12" ht="15.6" x14ac:dyDescent="0.3">
      <c r="B33" s="457" t="s">
        <v>10</v>
      </c>
      <c r="C33" s="455">
        <v>0</v>
      </c>
      <c r="D33" s="455">
        <v>0</v>
      </c>
      <c r="E33" s="458">
        <v>0</v>
      </c>
      <c r="F33" s="458">
        <v>0</v>
      </c>
      <c r="G33" s="465">
        <v>90</v>
      </c>
      <c r="H33" s="465">
        <v>3</v>
      </c>
      <c r="I33" s="465">
        <v>90</v>
      </c>
      <c r="J33" s="465">
        <v>3</v>
      </c>
      <c r="K33" s="465">
        <v>90</v>
      </c>
      <c r="L33" s="465">
        <v>3</v>
      </c>
    </row>
    <row r="34" spans="2:12" ht="15.6" x14ac:dyDescent="0.3">
      <c r="B34" s="457" t="s">
        <v>11</v>
      </c>
      <c r="C34" s="455">
        <v>60</v>
      </c>
      <c r="D34" s="455">
        <v>2</v>
      </c>
      <c r="E34" s="458">
        <v>60</v>
      </c>
      <c r="F34" s="458">
        <v>2</v>
      </c>
      <c r="G34" s="465">
        <v>60</v>
      </c>
      <c r="H34" s="465">
        <v>2</v>
      </c>
      <c r="I34" s="465">
        <v>90</v>
      </c>
      <c r="J34" s="465">
        <v>3</v>
      </c>
      <c r="K34" s="465">
        <v>90</v>
      </c>
      <c r="L34" s="465">
        <v>3</v>
      </c>
    </row>
    <row r="35" spans="2:12" ht="15.6" x14ac:dyDescent="0.3">
      <c r="B35" s="457" t="s">
        <v>12</v>
      </c>
      <c r="C35" s="455">
        <v>0</v>
      </c>
      <c r="D35" s="455">
        <v>0</v>
      </c>
      <c r="E35" s="458">
        <v>60</v>
      </c>
      <c r="F35" s="458">
        <v>2</v>
      </c>
      <c r="G35" s="455">
        <v>60</v>
      </c>
      <c r="H35" s="455">
        <v>2</v>
      </c>
      <c r="I35" s="465">
        <v>60</v>
      </c>
      <c r="J35" s="465">
        <v>2</v>
      </c>
      <c r="K35" s="465">
        <v>90</v>
      </c>
      <c r="L35" s="465">
        <v>3</v>
      </c>
    </row>
    <row r="36" spans="2:12" ht="15.6" x14ac:dyDescent="0.3">
      <c r="B36" s="457" t="s">
        <v>13</v>
      </c>
      <c r="C36" s="455">
        <v>0</v>
      </c>
      <c r="D36" s="455">
        <v>0</v>
      </c>
      <c r="E36" s="458">
        <v>0</v>
      </c>
      <c r="F36" s="458">
        <v>0</v>
      </c>
      <c r="G36" s="455">
        <v>60</v>
      </c>
      <c r="H36" s="455">
        <v>2</v>
      </c>
      <c r="I36" s="465">
        <v>60</v>
      </c>
      <c r="J36" s="465">
        <v>2</v>
      </c>
      <c r="K36" s="465">
        <v>60</v>
      </c>
      <c r="L36" s="465">
        <v>3</v>
      </c>
    </row>
    <row r="37" spans="2:12" ht="15.6" x14ac:dyDescent="0.3">
      <c r="B37" s="457" t="s">
        <v>14</v>
      </c>
      <c r="C37" s="455">
        <v>0</v>
      </c>
      <c r="D37" s="455">
        <v>2</v>
      </c>
      <c r="E37" s="458">
        <v>0</v>
      </c>
      <c r="F37" s="458">
        <v>2</v>
      </c>
      <c r="G37" s="455">
        <v>0</v>
      </c>
      <c r="H37" s="455">
        <v>0</v>
      </c>
      <c r="I37" s="455">
        <v>60</v>
      </c>
      <c r="J37" s="455">
        <v>2</v>
      </c>
      <c r="K37" s="455">
        <v>60</v>
      </c>
      <c r="L37" s="455">
        <v>3</v>
      </c>
    </row>
    <row r="38" spans="2:12" ht="15.6" x14ac:dyDescent="0.3">
      <c r="B38" s="457" t="s">
        <v>423</v>
      </c>
      <c r="C38" s="455">
        <v>150</v>
      </c>
      <c r="D38" s="455">
        <v>7</v>
      </c>
      <c r="E38" s="458">
        <v>300</v>
      </c>
      <c r="F38" s="458">
        <v>12</v>
      </c>
      <c r="G38" s="455">
        <v>450</v>
      </c>
      <c r="H38" s="455">
        <v>17</v>
      </c>
      <c r="I38" s="455">
        <v>540</v>
      </c>
      <c r="J38" s="455">
        <v>20</v>
      </c>
      <c r="K38" s="455">
        <v>570</v>
      </c>
      <c r="L38" s="455">
        <v>24</v>
      </c>
    </row>
    <row r="39" spans="2:12" ht="16.2" thickBot="1" x14ac:dyDescent="0.35">
      <c r="B39" s="459" t="s">
        <v>424</v>
      </c>
      <c r="C39" s="461">
        <v>150</v>
      </c>
      <c r="D39" s="466"/>
      <c r="E39" s="460">
        <v>300</v>
      </c>
      <c r="F39" s="463"/>
      <c r="G39" s="466">
        <v>450</v>
      </c>
      <c r="H39" s="466"/>
      <c r="I39" s="466">
        <v>540</v>
      </c>
      <c r="J39" s="466"/>
      <c r="K39" s="466">
        <v>570</v>
      </c>
      <c r="L39" s="466"/>
    </row>
  </sheetData>
  <mergeCells count="1">
    <mergeCell ref="C21:L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28"/>
  <sheetViews>
    <sheetView zoomScale="75" zoomScaleNormal="75" workbookViewId="0">
      <selection activeCell="D19" sqref="D19:G19"/>
    </sheetView>
  </sheetViews>
  <sheetFormatPr defaultRowHeight="14.4" x14ac:dyDescent="0.3"/>
  <cols>
    <col min="1" max="1" width="33.88671875" bestFit="1" customWidth="1"/>
    <col min="2" max="2" width="14.5546875" bestFit="1" customWidth="1"/>
    <col min="3" max="7" width="13.33203125" bestFit="1" customWidth="1"/>
  </cols>
  <sheetData>
    <row r="1" spans="1:7" x14ac:dyDescent="0.3">
      <c r="A1" t="s">
        <v>217</v>
      </c>
      <c r="B1" s="267" t="s">
        <v>163</v>
      </c>
      <c r="C1" s="267" t="s">
        <v>162</v>
      </c>
      <c r="D1" s="267" t="s">
        <v>161</v>
      </c>
      <c r="E1" s="267" t="s">
        <v>160</v>
      </c>
      <c r="F1" s="267" t="s">
        <v>159</v>
      </c>
      <c r="G1" s="267" t="s">
        <v>216</v>
      </c>
    </row>
    <row r="2" spans="1:7" x14ac:dyDescent="0.3">
      <c r="B2" s="267" t="s">
        <v>155</v>
      </c>
      <c r="C2" s="267" t="s">
        <v>154</v>
      </c>
      <c r="D2" s="267" t="s">
        <v>153</v>
      </c>
      <c r="E2" s="267" t="s">
        <v>152</v>
      </c>
      <c r="F2" s="267" t="s">
        <v>192</v>
      </c>
      <c r="G2" s="267" t="s">
        <v>378</v>
      </c>
    </row>
    <row r="3" spans="1:7" x14ac:dyDescent="0.3">
      <c r="A3" t="s">
        <v>215</v>
      </c>
      <c r="B3">
        <f>'6-Year (auto-populated)'!D5</f>
        <v>110</v>
      </c>
      <c r="C3">
        <f>'6-Year (auto-populated)'!E5</f>
        <v>300</v>
      </c>
      <c r="D3">
        <f>'6-Year (auto-populated)'!F5</f>
        <v>450</v>
      </c>
      <c r="E3">
        <f>'6-Year (auto-populated)'!G5</f>
        <v>540</v>
      </c>
      <c r="F3">
        <f>'6-Year (auto-populated)'!H5</f>
        <v>570</v>
      </c>
      <c r="G3">
        <f>'6-Year (auto-populated)'!I5</f>
        <v>600</v>
      </c>
    </row>
    <row r="4" spans="1:7" x14ac:dyDescent="0.3">
      <c r="A4" s="29" t="s">
        <v>219</v>
      </c>
      <c r="B4" s="270">
        <f>'6-Year (auto-populated)'!D2</f>
        <v>7293.18</v>
      </c>
      <c r="C4" s="270">
        <f>'6-Year (auto-populated)'!E2</f>
        <v>7387.9913399999996</v>
      </c>
      <c r="D4" s="270">
        <f>'6-Year (auto-populated)'!F2</f>
        <v>7484.0352274199986</v>
      </c>
      <c r="E4" s="270">
        <f>'6-Year (auto-populated)'!G2</f>
        <v>7581.3276853764582</v>
      </c>
      <c r="F4" s="270">
        <f>'6-Year (auto-populated)'!H2</f>
        <v>7679.8849452863515</v>
      </c>
      <c r="G4" s="270">
        <f>'6-Year (auto-populated)'!I2</f>
        <v>7779.7234495750736</v>
      </c>
    </row>
    <row r="5" spans="1:7" x14ac:dyDescent="0.3">
      <c r="B5" s="264"/>
      <c r="C5" s="264"/>
      <c r="D5" s="264"/>
      <c r="E5" s="264"/>
      <c r="F5" s="264"/>
      <c r="G5" s="264"/>
    </row>
    <row r="6" spans="1:7" x14ac:dyDescent="0.3">
      <c r="A6" t="s">
        <v>214</v>
      </c>
      <c r="B6" s="263">
        <f>(B3*0.95)*B4</f>
        <v>762137.31</v>
      </c>
      <c r="C6" s="263">
        <f t="shared" ref="C6:G6" si="0">(C3*0.95)*C4</f>
        <v>2105577.5318999998</v>
      </c>
      <c r="D6" s="263">
        <f t="shared" si="0"/>
        <v>3199425.0597220496</v>
      </c>
      <c r="E6" s="263">
        <f t="shared" si="0"/>
        <v>3889221.1025981233</v>
      </c>
      <c r="F6" s="263">
        <f t="shared" si="0"/>
        <v>4158657.6978725595</v>
      </c>
      <c r="G6" s="263">
        <f t="shared" si="0"/>
        <v>4434442.3662577923</v>
      </c>
    </row>
    <row r="7" spans="1:7" x14ac:dyDescent="0.3">
      <c r="B7" s="14"/>
      <c r="C7" s="14"/>
      <c r="D7" s="14"/>
      <c r="E7" s="14"/>
      <c r="F7" s="14"/>
      <c r="G7" s="14"/>
    </row>
    <row r="8" spans="1:7" x14ac:dyDescent="0.3">
      <c r="B8" s="14"/>
      <c r="C8" s="14"/>
      <c r="D8" s="14"/>
      <c r="E8" s="14"/>
      <c r="F8" s="14"/>
      <c r="G8" s="14"/>
    </row>
    <row r="9" spans="1:7" x14ac:dyDescent="0.3">
      <c r="A9" t="s">
        <v>213</v>
      </c>
      <c r="B9" s="14">
        <v>0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</row>
    <row r="10" spans="1:7" x14ac:dyDescent="0.3">
      <c r="A10" t="s">
        <v>212</v>
      </c>
      <c r="B10" s="14">
        <f>'6-Year (auto-populated)'!D207</f>
        <v>0</v>
      </c>
      <c r="C10" s="14">
        <f>'6-Year (auto-populated)'!E207</f>
        <v>0</v>
      </c>
      <c r="D10" s="14">
        <f>'6-Year (auto-populated)'!F207</f>
        <v>0</v>
      </c>
      <c r="E10" s="14">
        <f>'6-Year (auto-populated)'!G207</f>
        <v>0</v>
      </c>
      <c r="F10" s="14">
        <f>'6-Year (auto-populated)'!H207</f>
        <v>0</v>
      </c>
      <c r="G10" s="14">
        <f>'6-Year (auto-populated)'!I207</f>
        <v>0</v>
      </c>
    </row>
    <row r="11" spans="1:7" x14ac:dyDescent="0.3">
      <c r="A11" t="s">
        <v>211</v>
      </c>
      <c r="B11" s="14"/>
      <c r="C11" s="14"/>
      <c r="D11" s="14"/>
      <c r="E11" s="14"/>
      <c r="F11" s="14"/>
      <c r="G11" s="14"/>
    </row>
    <row r="12" spans="1:7" x14ac:dyDescent="0.3">
      <c r="A12" t="s">
        <v>210</v>
      </c>
      <c r="B12" s="14"/>
      <c r="C12" s="14"/>
      <c r="D12" s="14"/>
      <c r="E12" s="14"/>
      <c r="F12" s="14"/>
      <c r="G12" s="14"/>
    </row>
    <row r="13" spans="1:7" x14ac:dyDescent="0.3">
      <c r="A13" t="s">
        <v>209</v>
      </c>
      <c r="B13" s="14">
        <f t="shared" ref="B13:G13" si="1">SUM(B9:B12)</f>
        <v>0</v>
      </c>
      <c r="C13" s="14">
        <f t="shared" si="1"/>
        <v>0</v>
      </c>
      <c r="D13" s="14">
        <f t="shared" si="1"/>
        <v>0</v>
      </c>
      <c r="E13" s="14">
        <f t="shared" si="1"/>
        <v>0</v>
      </c>
      <c r="F13" s="14">
        <f t="shared" si="1"/>
        <v>0</v>
      </c>
      <c r="G13" s="14">
        <f t="shared" si="1"/>
        <v>0</v>
      </c>
    </row>
    <row r="15" spans="1:7" x14ac:dyDescent="0.3">
      <c r="A15" t="s">
        <v>208</v>
      </c>
      <c r="B15" s="265">
        <f t="shared" ref="B15:G15" si="2">B13/B6</f>
        <v>0</v>
      </c>
      <c r="C15" s="265">
        <f t="shared" si="2"/>
        <v>0</v>
      </c>
      <c r="D15" s="265">
        <f t="shared" si="2"/>
        <v>0</v>
      </c>
      <c r="E15" s="265">
        <f t="shared" si="2"/>
        <v>0</v>
      </c>
      <c r="F15" s="265">
        <f t="shared" si="2"/>
        <v>0</v>
      </c>
      <c r="G15" s="265">
        <f t="shared" si="2"/>
        <v>0</v>
      </c>
    </row>
    <row r="16" spans="1:7" hidden="1" x14ac:dyDescent="0.3">
      <c r="A16" t="s">
        <v>207</v>
      </c>
      <c r="B16" s="264">
        <v>46550.767703862664</v>
      </c>
      <c r="C16" s="264">
        <v>26262.297518159805</v>
      </c>
      <c r="D16" s="264">
        <v>19299.517571174376</v>
      </c>
      <c r="E16" s="264">
        <v>15857.205957602338</v>
      </c>
      <c r="F16" s="264">
        <v>14013.344799741602</v>
      </c>
      <c r="G16" s="264" t="e">
        <v>#REF!</v>
      </c>
    </row>
    <row r="17" spans="1:8" x14ac:dyDescent="0.3">
      <c r="A17" t="s">
        <v>206</v>
      </c>
      <c r="B17" s="266">
        <f t="shared" ref="B17:G17" si="3">B13/B3</f>
        <v>0</v>
      </c>
      <c r="C17" s="266">
        <f t="shared" si="3"/>
        <v>0</v>
      </c>
      <c r="D17" s="266">
        <f t="shared" si="3"/>
        <v>0</v>
      </c>
      <c r="E17" s="266">
        <f t="shared" si="3"/>
        <v>0</v>
      </c>
      <c r="F17" s="266">
        <f t="shared" si="3"/>
        <v>0</v>
      </c>
      <c r="G17" s="266">
        <f t="shared" si="3"/>
        <v>0</v>
      </c>
    </row>
    <row r="18" spans="1:8" hidden="1" x14ac:dyDescent="0.3">
      <c r="A18" t="s">
        <v>205</v>
      </c>
      <c r="B18" s="265">
        <v>0</v>
      </c>
      <c r="C18" s="265">
        <v>4.4999999999999998E-2</v>
      </c>
      <c r="D18" s="265">
        <v>6.5000000000000002E-2</v>
      </c>
      <c r="E18" s="265">
        <v>0.08</v>
      </c>
      <c r="F18" s="265">
        <v>9.2249999999999999E-2</v>
      </c>
      <c r="G18" s="265" t="e">
        <v>#REF!</v>
      </c>
    </row>
    <row r="19" spans="1:8" x14ac:dyDescent="0.3">
      <c r="D19" t="e">
        <f>(D17-C17)/C17</f>
        <v>#DIV/0!</v>
      </c>
      <c r="E19" t="e">
        <f t="shared" ref="E19:G19" si="4">(E17-D17)/D17</f>
        <v>#DIV/0!</v>
      </c>
      <c r="F19" t="e">
        <f t="shared" si="4"/>
        <v>#DIV/0!</v>
      </c>
      <c r="G19" t="e">
        <f t="shared" si="4"/>
        <v>#DIV/0!</v>
      </c>
    </row>
    <row r="28" spans="1:8" x14ac:dyDescent="0.3">
      <c r="B28" s="407"/>
      <c r="C28" s="407"/>
      <c r="D28" s="407"/>
      <c r="E28" s="407"/>
      <c r="F28" s="407"/>
      <c r="G28" s="407"/>
      <c r="H28" s="40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43"/>
  <sheetViews>
    <sheetView topLeftCell="A4" zoomScale="75" zoomScaleNormal="75" workbookViewId="0">
      <selection activeCell="D37" sqref="D37"/>
    </sheetView>
  </sheetViews>
  <sheetFormatPr defaultRowHeight="14.4" x14ac:dyDescent="0.3"/>
  <cols>
    <col min="2" max="2" width="30.77734375" customWidth="1"/>
    <col min="3" max="3" width="11.77734375" customWidth="1"/>
    <col min="4" max="4" width="11.6640625" customWidth="1"/>
    <col min="5" max="5" width="10.6640625" customWidth="1"/>
    <col min="6" max="6" width="11.88671875" customWidth="1"/>
    <col min="8" max="8" width="13.44140625" customWidth="1"/>
  </cols>
  <sheetData>
    <row r="1" spans="1:8" x14ac:dyDescent="0.3">
      <c r="A1" s="425" t="s">
        <v>373</v>
      </c>
      <c r="D1" s="125"/>
      <c r="E1" s="125"/>
    </row>
    <row r="2" spans="1:8" x14ac:dyDescent="0.3">
      <c r="C2" s="555" t="s">
        <v>305</v>
      </c>
      <c r="D2" s="555"/>
      <c r="E2" s="555"/>
      <c r="F2" s="555"/>
      <c r="G2" s="555"/>
      <c r="H2" s="555"/>
    </row>
    <row r="3" spans="1:8" x14ac:dyDescent="0.3">
      <c r="C3" s="376" t="s">
        <v>164</v>
      </c>
      <c r="D3" s="376" t="s">
        <v>302</v>
      </c>
      <c r="E3" s="376" t="s">
        <v>303</v>
      </c>
      <c r="F3" s="376" t="s">
        <v>158</v>
      </c>
      <c r="G3" s="376" t="s">
        <v>304</v>
      </c>
      <c r="H3" s="376" t="s">
        <v>306</v>
      </c>
    </row>
    <row r="4" spans="1:8" x14ac:dyDescent="0.3">
      <c r="B4" s="556" t="s">
        <v>307</v>
      </c>
      <c r="C4" s="367">
        <v>2012</v>
      </c>
      <c r="D4" s="7">
        <v>5136</v>
      </c>
      <c r="E4" s="7">
        <f t="shared" ref="E4:E9" si="0">F4-D4</f>
        <v>1035</v>
      </c>
      <c r="F4" s="7">
        <v>6171</v>
      </c>
      <c r="G4" s="368"/>
      <c r="H4" s="368"/>
    </row>
    <row r="5" spans="1:8" x14ac:dyDescent="0.3">
      <c r="B5" s="556"/>
      <c r="C5" s="367">
        <v>2013</v>
      </c>
      <c r="D5" s="7">
        <v>5257</v>
      </c>
      <c r="E5" s="7">
        <f t="shared" si="0"/>
        <v>938</v>
      </c>
      <c r="F5" s="7">
        <v>6195</v>
      </c>
      <c r="G5" s="369">
        <f>F5-F4</f>
        <v>24</v>
      </c>
      <c r="H5" s="370">
        <f>G5/F4</f>
        <v>3.889158969372873E-3</v>
      </c>
    </row>
    <row r="6" spans="1:8" x14ac:dyDescent="0.3">
      <c r="B6" s="556"/>
      <c r="C6" s="367">
        <v>2014</v>
      </c>
      <c r="D6" s="7">
        <v>5457</v>
      </c>
      <c r="E6" s="7">
        <f t="shared" si="0"/>
        <v>1007</v>
      </c>
      <c r="F6" s="7">
        <v>6464</v>
      </c>
      <c r="G6" s="369">
        <f t="shared" ref="G6:G12" si="1">F6-F5</f>
        <v>269</v>
      </c>
      <c r="H6" s="370">
        <f t="shared" ref="H6:H12" si="2">G6/F5</f>
        <v>4.3422114608555287E-2</v>
      </c>
    </row>
    <row r="7" spans="1:8" x14ac:dyDescent="0.3">
      <c r="B7" s="556"/>
      <c r="C7" s="367">
        <v>2015</v>
      </c>
      <c r="D7" s="7">
        <v>5527</v>
      </c>
      <c r="E7" s="7">
        <f t="shared" si="0"/>
        <v>998</v>
      </c>
      <c r="F7" s="7">
        <v>6525</v>
      </c>
      <c r="G7" s="369">
        <f t="shared" si="1"/>
        <v>61</v>
      </c>
      <c r="H7" s="370">
        <f t="shared" si="2"/>
        <v>9.4368811881188116E-3</v>
      </c>
    </row>
    <row r="8" spans="1:8" x14ac:dyDescent="0.3">
      <c r="B8" s="556"/>
      <c r="C8" s="367">
        <v>2016</v>
      </c>
      <c r="D8" s="7">
        <v>5512</v>
      </c>
      <c r="E8" s="7">
        <f t="shared" si="0"/>
        <v>1066</v>
      </c>
      <c r="F8" s="7">
        <v>6578</v>
      </c>
      <c r="G8" s="369">
        <f t="shared" si="1"/>
        <v>53</v>
      </c>
      <c r="H8" s="370">
        <f t="shared" si="2"/>
        <v>8.1226053639846738E-3</v>
      </c>
    </row>
    <row r="9" spans="1:8" x14ac:dyDescent="0.3">
      <c r="B9" s="556"/>
      <c r="C9" s="367">
        <v>2017</v>
      </c>
      <c r="D9" s="7">
        <v>5574</v>
      </c>
      <c r="E9" s="7">
        <f t="shared" si="0"/>
        <v>1054</v>
      </c>
      <c r="F9" s="7">
        <v>6628</v>
      </c>
      <c r="G9" s="369">
        <f t="shared" si="1"/>
        <v>50</v>
      </c>
      <c r="H9" s="370">
        <f t="shared" si="2"/>
        <v>7.601094557616297E-3</v>
      </c>
    </row>
    <row r="10" spans="1:8" x14ac:dyDescent="0.3">
      <c r="B10" s="556"/>
      <c r="C10" s="371">
        <v>2018</v>
      </c>
      <c r="D10" s="7">
        <v>5700</v>
      </c>
      <c r="E10" s="7">
        <v>1030</v>
      </c>
      <c r="F10" s="7">
        <f>SUM(D10:E10)</f>
        <v>6730</v>
      </c>
      <c r="G10" s="369">
        <f t="shared" si="1"/>
        <v>102</v>
      </c>
      <c r="H10" s="370">
        <f t="shared" si="2"/>
        <v>1.5389257694628847E-2</v>
      </c>
    </row>
    <row r="11" spans="1:8" x14ac:dyDescent="0.3">
      <c r="B11" s="556"/>
      <c r="C11" s="371">
        <v>2019</v>
      </c>
      <c r="D11" s="369">
        <v>5781</v>
      </c>
      <c r="E11" s="369">
        <v>1080</v>
      </c>
      <c r="F11" s="7">
        <f>SUM(D11:E11)</f>
        <v>6861</v>
      </c>
      <c r="G11" s="369">
        <f t="shared" si="1"/>
        <v>131</v>
      </c>
      <c r="H11" s="370">
        <f t="shared" si="2"/>
        <v>1.9465081723625557E-2</v>
      </c>
    </row>
    <row r="12" spans="1:8" x14ac:dyDescent="0.3">
      <c r="B12" s="556"/>
      <c r="C12" s="371">
        <v>2020</v>
      </c>
      <c r="D12" s="369">
        <v>6067</v>
      </c>
      <c r="E12" s="369">
        <v>1177</v>
      </c>
      <c r="F12" s="7">
        <f>SUM(D12:E12)</f>
        <v>7244</v>
      </c>
      <c r="G12" s="369">
        <f t="shared" si="1"/>
        <v>383</v>
      </c>
      <c r="H12" s="370">
        <f t="shared" si="2"/>
        <v>5.5822766360588832E-2</v>
      </c>
    </row>
    <row r="13" spans="1:8" x14ac:dyDescent="0.3">
      <c r="B13" s="418"/>
      <c r="C13" s="419"/>
      <c r="D13" s="420"/>
      <c r="E13" s="420"/>
      <c r="F13" s="59"/>
      <c r="G13" s="420"/>
      <c r="H13" s="421"/>
    </row>
    <row r="14" spans="1:8" x14ac:dyDescent="0.3">
      <c r="A14" s="422" t="s">
        <v>363</v>
      </c>
      <c r="B14" s="418"/>
      <c r="C14" s="419"/>
      <c r="D14" s="420"/>
      <c r="E14" s="420"/>
      <c r="F14" s="59"/>
      <c r="G14" s="420"/>
      <c r="H14" s="421"/>
    </row>
    <row r="15" spans="1:8" x14ac:dyDescent="0.3">
      <c r="C15" s="372"/>
      <c r="D15" s="373"/>
      <c r="E15" s="373"/>
      <c r="F15" s="374"/>
      <c r="G15" s="373"/>
      <c r="H15" s="375"/>
    </row>
    <row r="16" spans="1:8" x14ac:dyDescent="0.3">
      <c r="C16" s="267" t="s">
        <v>156</v>
      </c>
      <c r="D16" s="267" t="s">
        <v>155</v>
      </c>
    </row>
    <row r="17" spans="2:4" x14ac:dyDescent="0.3">
      <c r="B17" t="s">
        <v>368</v>
      </c>
      <c r="C17" s="125">
        <v>6980</v>
      </c>
      <c r="D17" s="125">
        <v>7074</v>
      </c>
    </row>
    <row r="18" spans="2:4" x14ac:dyDescent="0.3">
      <c r="B18" t="s">
        <v>351</v>
      </c>
      <c r="C18" s="125">
        <v>7169</v>
      </c>
      <c r="D18" s="125">
        <v>7265</v>
      </c>
    </row>
    <row r="19" spans="2:4" x14ac:dyDescent="0.3">
      <c r="B19" s="423" t="s">
        <v>352</v>
      </c>
      <c r="C19" s="424">
        <v>7197</v>
      </c>
      <c r="D19" s="424">
        <v>7293</v>
      </c>
    </row>
    <row r="20" spans="2:4" x14ac:dyDescent="0.3">
      <c r="B20" t="s">
        <v>353</v>
      </c>
      <c r="C20" s="125">
        <v>6980</v>
      </c>
      <c r="D20" s="125">
        <v>7074</v>
      </c>
    </row>
    <row r="21" spans="2:4" x14ac:dyDescent="0.3">
      <c r="B21" t="s">
        <v>354</v>
      </c>
      <c r="C21" s="125">
        <v>7169</v>
      </c>
      <c r="D21" s="125">
        <v>7265</v>
      </c>
    </row>
    <row r="22" spans="2:4" x14ac:dyDescent="0.3">
      <c r="B22" t="s">
        <v>355</v>
      </c>
      <c r="C22" s="125">
        <v>7169</v>
      </c>
      <c r="D22" s="125">
        <v>7265</v>
      </c>
    </row>
    <row r="23" spans="2:4" x14ac:dyDescent="0.3">
      <c r="B23" t="s">
        <v>356</v>
      </c>
      <c r="C23" s="125">
        <v>7169</v>
      </c>
      <c r="D23" s="125">
        <v>7265</v>
      </c>
    </row>
    <row r="24" spans="2:4" x14ac:dyDescent="0.3">
      <c r="B24" t="s">
        <v>357</v>
      </c>
      <c r="C24" s="125">
        <v>7169</v>
      </c>
      <c r="D24" s="125">
        <v>7265</v>
      </c>
    </row>
    <row r="25" spans="2:4" x14ac:dyDescent="0.3">
      <c r="B25" t="s">
        <v>358</v>
      </c>
      <c r="C25" s="125">
        <v>7169</v>
      </c>
      <c r="D25" s="125">
        <v>7265</v>
      </c>
    </row>
    <row r="26" spans="2:4" x14ac:dyDescent="0.3">
      <c r="B26" t="s">
        <v>359</v>
      </c>
      <c r="C26" s="125">
        <v>7169</v>
      </c>
      <c r="D26" s="125">
        <v>7265</v>
      </c>
    </row>
    <row r="27" spans="2:4" x14ac:dyDescent="0.3">
      <c r="B27" t="s">
        <v>360</v>
      </c>
      <c r="C27" s="125">
        <v>6980</v>
      </c>
      <c r="D27" s="125">
        <v>7074</v>
      </c>
    </row>
    <row r="28" spans="2:4" x14ac:dyDescent="0.3">
      <c r="B28" t="s">
        <v>361</v>
      </c>
      <c r="C28" s="125">
        <v>7169</v>
      </c>
      <c r="D28" s="125">
        <v>7265</v>
      </c>
    </row>
    <row r="29" spans="2:4" x14ac:dyDescent="0.3">
      <c r="B29" t="s">
        <v>362</v>
      </c>
      <c r="C29" s="125">
        <v>7169</v>
      </c>
      <c r="D29" s="125">
        <v>7265</v>
      </c>
    </row>
    <row r="30" spans="2:4" x14ac:dyDescent="0.3">
      <c r="B30" t="s">
        <v>364</v>
      </c>
      <c r="C30" s="125">
        <v>7169</v>
      </c>
      <c r="D30" s="125">
        <v>7265</v>
      </c>
    </row>
    <row r="31" spans="2:4" x14ac:dyDescent="0.3">
      <c r="B31" t="s">
        <v>365</v>
      </c>
      <c r="C31" s="125">
        <v>6980</v>
      </c>
      <c r="D31" s="125">
        <v>7074</v>
      </c>
    </row>
    <row r="32" spans="2:4" x14ac:dyDescent="0.3">
      <c r="B32" t="s">
        <v>366</v>
      </c>
      <c r="C32" s="125">
        <v>6980</v>
      </c>
      <c r="D32" s="125">
        <v>7074</v>
      </c>
    </row>
    <row r="33" spans="1:4" x14ac:dyDescent="0.3">
      <c r="B33" t="s">
        <v>367</v>
      </c>
      <c r="C33" s="125">
        <v>7169</v>
      </c>
      <c r="D33" s="125">
        <v>7265</v>
      </c>
    </row>
    <row r="35" spans="1:4" x14ac:dyDescent="0.3">
      <c r="B35" t="s">
        <v>369</v>
      </c>
      <c r="C35" s="125">
        <v>6980</v>
      </c>
      <c r="D35" s="125">
        <v>7074</v>
      </c>
    </row>
    <row r="36" spans="1:4" x14ac:dyDescent="0.3">
      <c r="A36" s="423"/>
      <c r="B36" s="426" t="s">
        <v>376</v>
      </c>
    </row>
    <row r="37" spans="1:4" x14ac:dyDescent="0.3">
      <c r="B37" s="427" t="s">
        <v>370</v>
      </c>
      <c r="C37" s="428">
        <v>0.24</v>
      </c>
      <c r="D37" s="428">
        <v>0.23</v>
      </c>
    </row>
    <row r="38" spans="1:4" x14ac:dyDescent="0.3">
      <c r="B38" s="427" t="s">
        <v>371</v>
      </c>
      <c r="C38" s="428">
        <v>0.03</v>
      </c>
      <c r="D38" s="428">
        <v>0.03</v>
      </c>
    </row>
    <row r="39" spans="1:4" x14ac:dyDescent="0.3">
      <c r="B39" s="427" t="s">
        <v>372</v>
      </c>
      <c r="C39" s="428">
        <v>0.12</v>
      </c>
      <c r="D39" s="428">
        <v>0.12</v>
      </c>
    </row>
    <row r="41" spans="1:4" x14ac:dyDescent="0.3">
      <c r="B41" t="s">
        <v>333</v>
      </c>
      <c r="C41" s="266">
        <f>$C$35*C37</f>
        <v>1675.2</v>
      </c>
      <c r="D41" s="266">
        <f>$D$35*D37</f>
        <v>1627.02</v>
      </c>
    </row>
    <row r="42" spans="1:4" x14ac:dyDescent="0.3">
      <c r="B42" t="s">
        <v>374</v>
      </c>
      <c r="C42" s="266">
        <f t="shared" ref="C42:C43" si="3">$C$35*C38</f>
        <v>209.4</v>
      </c>
      <c r="D42" s="266">
        <f t="shared" ref="D42:D43" si="4">$D$35*D38</f>
        <v>212.22</v>
      </c>
    </row>
    <row r="43" spans="1:4" x14ac:dyDescent="0.3">
      <c r="B43" t="s">
        <v>375</v>
      </c>
      <c r="C43" s="266">
        <f t="shared" si="3"/>
        <v>837.6</v>
      </c>
      <c r="D43" s="266">
        <f t="shared" si="4"/>
        <v>848.88</v>
      </c>
    </row>
  </sheetData>
  <mergeCells count="2">
    <mergeCell ref="C2:H2"/>
    <mergeCell ref="B4:B1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C000"/>
  </sheetPr>
  <dimension ref="A1:N74"/>
  <sheetViews>
    <sheetView showGridLines="0" zoomScale="75" zoomScaleNormal="75" zoomScaleSheetLayoutView="70" workbookViewId="0">
      <selection activeCell="D19" sqref="D19"/>
    </sheetView>
  </sheetViews>
  <sheetFormatPr defaultColWidth="9.109375" defaultRowHeight="13.2" x14ac:dyDescent="0.25"/>
  <cols>
    <col min="1" max="1" width="3" style="276" customWidth="1"/>
    <col min="2" max="2" width="9.109375" style="276"/>
    <col min="3" max="8" width="10.109375" style="276" customWidth="1"/>
    <col min="9" max="9" width="3.5546875" style="276" customWidth="1"/>
    <col min="10" max="16384" width="9.109375" style="276"/>
  </cols>
  <sheetData>
    <row r="1" spans="1:13" ht="15.6" x14ac:dyDescent="0.3">
      <c r="A1" s="307" t="s">
        <v>258</v>
      </c>
      <c r="B1" s="307"/>
      <c r="C1" s="307"/>
    </row>
    <row r="2" spans="1:13" ht="15.6" x14ac:dyDescent="0.3">
      <c r="A2" s="306" t="str">
        <f>+'Staffing Tables'!A2</f>
        <v>Young Women's Leadership Academy</v>
      </c>
      <c r="B2" s="305"/>
      <c r="C2" s="305"/>
    </row>
    <row r="3" spans="1:13" x14ac:dyDescent="0.25">
      <c r="A3" s="304" t="s">
        <v>257</v>
      </c>
    </row>
    <row r="4" spans="1:13" x14ac:dyDescent="0.25">
      <c r="A4" s="303" t="s">
        <v>256</v>
      </c>
    </row>
    <row r="5" spans="1:13" x14ac:dyDescent="0.25">
      <c r="A5" s="302" t="str">
        <f ca="1">CELL("filename")</f>
        <v>C:\Users\Jennifer.King\AppData\Local\Microsoft\Windows\INetCache\Content.Outlook\WFIPE3TB\[Attachment 3 YWLA Six-Year School Budget.xlsx]6-Year (auto-populated)</v>
      </c>
    </row>
    <row r="6" spans="1:13" x14ac:dyDescent="0.25">
      <c r="A6" s="286"/>
      <c r="B6" s="286"/>
      <c r="C6" s="286"/>
      <c r="D6" s="286"/>
      <c r="E6" s="286"/>
      <c r="F6" s="286"/>
      <c r="G6" s="286"/>
      <c r="H6" s="286"/>
      <c r="I6" s="286"/>
      <c r="J6" s="286"/>
      <c r="K6" s="286"/>
    </row>
    <row r="7" spans="1:13" ht="13.8" x14ac:dyDescent="0.25">
      <c r="A7" s="286"/>
      <c r="B7" s="301" t="s">
        <v>255</v>
      </c>
      <c r="C7" s="286"/>
      <c r="D7" s="286"/>
      <c r="E7" s="286"/>
      <c r="F7" s="286"/>
      <c r="G7" s="286"/>
      <c r="H7" s="286"/>
      <c r="I7" s="286"/>
      <c r="J7" s="286"/>
      <c r="K7" s="286"/>
    </row>
    <row r="8" spans="1:13" ht="13.8" x14ac:dyDescent="0.25">
      <c r="A8" s="286"/>
      <c r="B8" s="301" t="s">
        <v>254</v>
      </c>
      <c r="C8" s="286"/>
      <c r="D8" s="286"/>
      <c r="E8" s="286"/>
      <c r="F8" s="286"/>
      <c r="G8" s="286"/>
      <c r="H8" s="286"/>
      <c r="I8" s="286"/>
      <c r="J8" s="286"/>
      <c r="K8" s="286"/>
    </row>
    <row r="9" spans="1:13" ht="13.8" x14ac:dyDescent="0.25">
      <c r="A9" s="286"/>
      <c r="B9" s="301"/>
      <c r="C9" s="286"/>
      <c r="D9" s="286"/>
      <c r="E9" s="286"/>
      <c r="F9" s="286"/>
      <c r="G9" s="286"/>
      <c r="H9" s="286"/>
      <c r="I9" s="286"/>
      <c r="J9" s="286"/>
      <c r="K9" s="286"/>
    </row>
    <row r="10" spans="1:13" ht="13.8" x14ac:dyDescent="0.25">
      <c r="A10" s="286"/>
      <c r="B10" s="297" t="s">
        <v>253</v>
      </c>
      <c r="C10" s="286"/>
      <c r="D10" s="286"/>
      <c r="E10" s="286"/>
      <c r="F10" s="286"/>
      <c r="G10" s="286"/>
      <c r="H10" s="286"/>
      <c r="I10" s="286"/>
      <c r="J10" s="286"/>
      <c r="K10" s="286"/>
    </row>
    <row r="11" spans="1:13" ht="13.8" x14ac:dyDescent="0.25">
      <c r="A11" s="286"/>
      <c r="B11" s="300" t="s">
        <v>252</v>
      </c>
      <c r="C11" s="286"/>
      <c r="D11" s="286"/>
      <c r="E11" s="286"/>
      <c r="F11" s="286"/>
      <c r="G11" s="286"/>
      <c r="H11" s="286"/>
      <c r="I11" s="286"/>
      <c r="J11" s="286"/>
      <c r="K11" s="286"/>
    </row>
    <row r="12" spans="1:13" ht="13.8" thickBot="1" x14ac:dyDescent="0.3">
      <c r="A12" s="286"/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</row>
    <row r="13" spans="1:13" ht="13.8" x14ac:dyDescent="0.25">
      <c r="A13" s="286"/>
      <c r="B13" s="557" t="s">
        <v>247</v>
      </c>
      <c r="C13" s="560" t="s">
        <v>246</v>
      </c>
      <c r="D13" s="561"/>
      <c r="E13" s="561"/>
      <c r="F13" s="561"/>
      <c r="G13" s="561"/>
      <c r="H13" s="562"/>
      <c r="I13" s="286"/>
      <c r="J13" s="286"/>
      <c r="K13" s="286"/>
      <c r="L13" s="286"/>
      <c r="M13" s="286"/>
    </row>
    <row r="14" spans="1:13" ht="13.8" x14ac:dyDescent="0.25">
      <c r="A14" s="286"/>
      <c r="B14" s="558"/>
      <c r="C14" s="299">
        <v>2022</v>
      </c>
      <c r="D14" s="293">
        <f>+C15</f>
        <v>2023</v>
      </c>
      <c r="E14" s="293">
        <f>+D15</f>
        <v>2024</v>
      </c>
      <c r="F14" s="293">
        <f>+E15</f>
        <v>2025</v>
      </c>
      <c r="G14" s="293">
        <f>+F15</f>
        <v>2026</v>
      </c>
      <c r="H14" s="292">
        <f>+G15</f>
        <v>2027</v>
      </c>
      <c r="I14" s="286"/>
      <c r="J14" s="286"/>
      <c r="K14" s="286"/>
      <c r="L14" s="286"/>
      <c r="M14" s="286"/>
    </row>
    <row r="15" spans="1:13" ht="14.4" thickBot="1" x14ac:dyDescent="0.3">
      <c r="A15" s="286"/>
      <c r="B15" s="559"/>
      <c r="C15" s="291">
        <f t="shared" ref="C15:H15" si="0">+C14+1</f>
        <v>2023</v>
      </c>
      <c r="D15" s="290">
        <f t="shared" si="0"/>
        <v>2024</v>
      </c>
      <c r="E15" s="290">
        <f t="shared" si="0"/>
        <v>2025</v>
      </c>
      <c r="F15" s="290">
        <f t="shared" si="0"/>
        <v>2026</v>
      </c>
      <c r="G15" s="290">
        <f t="shared" si="0"/>
        <v>2027</v>
      </c>
      <c r="H15" s="289">
        <f t="shared" si="0"/>
        <v>2028</v>
      </c>
      <c r="I15" s="286"/>
      <c r="J15" s="286"/>
      <c r="K15" s="286"/>
      <c r="L15" s="286"/>
      <c r="M15" s="286"/>
    </row>
    <row r="16" spans="1:13" ht="13.8" x14ac:dyDescent="0.25">
      <c r="A16" s="286"/>
      <c r="B16" s="287" t="s">
        <v>245</v>
      </c>
      <c r="C16" s="288"/>
      <c r="D16" s="288"/>
      <c r="E16" s="288"/>
      <c r="F16" s="288"/>
      <c r="G16" s="288"/>
      <c r="H16" s="288"/>
      <c r="I16" s="286"/>
      <c r="J16" s="286"/>
      <c r="K16" s="286"/>
      <c r="L16" s="286"/>
      <c r="M16" s="286"/>
    </row>
    <row r="17" spans="1:14" ht="13.8" x14ac:dyDescent="0.25">
      <c r="A17" s="286"/>
      <c r="B17" s="287" t="s">
        <v>244</v>
      </c>
      <c r="C17" s="281">
        <f>ROUND(C38*0.95,0)</f>
        <v>0</v>
      </c>
      <c r="D17" s="281">
        <f t="shared" ref="D17:H17" si="1">ROUND(D38*0.95,0)</f>
        <v>0</v>
      </c>
      <c r="E17" s="281">
        <f t="shared" si="1"/>
        <v>0</v>
      </c>
      <c r="F17" s="281">
        <f t="shared" si="1"/>
        <v>0</v>
      </c>
      <c r="G17" s="281">
        <f t="shared" si="1"/>
        <v>0</v>
      </c>
      <c r="H17" s="281">
        <f t="shared" si="1"/>
        <v>0</v>
      </c>
      <c r="I17" s="286"/>
      <c r="J17" s="286"/>
      <c r="K17" s="286"/>
      <c r="L17" s="286"/>
      <c r="M17" s="286"/>
    </row>
    <row r="18" spans="1:14" ht="13.8" x14ac:dyDescent="0.25">
      <c r="A18" s="286"/>
      <c r="B18" s="284">
        <v>1</v>
      </c>
      <c r="C18" s="281">
        <f t="shared" ref="C18:H29" si="2">ROUND(C39*0.95,0)</f>
        <v>0</v>
      </c>
      <c r="D18" s="281">
        <f t="shared" si="2"/>
        <v>0</v>
      </c>
      <c r="E18" s="281">
        <f t="shared" si="2"/>
        <v>0</v>
      </c>
      <c r="F18" s="281">
        <f t="shared" si="2"/>
        <v>0</v>
      </c>
      <c r="G18" s="281">
        <f t="shared" si="2"/>
        <v>0</v>
      </c>
      <c r="H18" s="281">
        <f t="shared" si="2"/>
        <v>0</v>
      </c>
      <c r="I18" s="286"/>
      <c r="J18" s="286"/>
      <c r="K18" s="286"/>
      <c r="L18" s="286"/>
      <c r="M18" s="286"/>
    </row>
    <row r="19" spans="1:14" ht="13.8" x14ac:dyDescent="0.25">
      <c r="A19" s="286"/>
      <c r="B19" s="284">
        <v>2</v>
      </c>
      <c r="C19" s="281">
        <f t="shared" si="2"/>
        <v>0</v>
      </c>
      <c r="D19" s="281">
        <f t="shared" si="2"/>
        <v>0</v>
      </c>
      <c r="E19" s="281">
        <f t="shared" si="2"/>
        <v>0</v>
      </c>
      <c r="F19" s="281">
        <f t="shared" si="2"/>
        <v>0</v>
      </c>
      <c r="G19" s="281">
        <f t="shared" si="2"/>
        <v>0</v>
      </c>
      <c r="H19" s="281">
        <f t="shared" si="2"/>
        <v>0</v>
      </c>
      <c r="I19" s="286"/>
      <c r="J19" s="286"/>
      <c r="K19" s="286"/>
      <c r="L19" s="286"/>
      <c r="M19" s="286"/>
    </row>
    <row r="20" spans="1:14" ht="13.8" x14ac:dyDescent="0.25">
      <c r="A20" s="286"/>
      <c r="B20" s="284">
        <v>3</v>
      </c>
      <c r="C20" s="281">
        <f t="shared" si="2"/>
        <v>0</v>
      </c>
      <c r="D20" s="281">
        <f t="shared" si="2"/>
        <v>0</v>
      </c>
      <c r="E20" s="281">
        <f t="shared" si="2"/>
        <v>0</v>
      </c>
      <c r="F20" s="281">
        <f t="shared" si="2"/>
        <v>0</v>
      </c>
      <c r="G20" s="281">
        <f t="shared" si="2"/>
        <v>0</v>
      </c>
      <c r="H20" s="281">
        <f t="shared" si="2"/>
        <v>0</v>
      </c>
      <c r="I20" s="286"/>
      <c r="J20" s="286"/>
      <c r="K20" s="286"/>
      <c r="L20" s="286"/>
      <c r="M20" s="286"/>
    </row>
    <row r="21" spans="1:14" ht="13.8" x14ac:dyDescent="0.25">
      <c r="A21" s="286"/>
      <c r="B21" s="284">
        <v>4</v>
      </c>
      <c r="C21" s="281">
        <f t="shared" si="2"/>
        <v>0</v>
      </c>
      <c r="D21" s="281">
        <f t="shared" si="2"/>
        <v>0</v>
      </c>
      <c r="E21" s="281">
        <f t="shared" si="2"/>
        <v>0</v>
      </c>
      <c r="F21" s="281">
        <f t="shared" si="2"/>
        <v>0</v>
      </c>
      <c r="G21" s="281">
        <f t="shared" si="2"/>
        <v>0</v>
      </c>
      <c r="H21" s="281">
        <f t="shared" si="2"/>
        <v>0</v>
      </c>
      <c r="I21" s="286"/>
      <c r="J21" s="286"/>
      <c r="K21" s="286"/>
      <c r="L21" s="286"/>
      <c r="M21" s="286"/>
    </row>
    <row r="22" spans="1:14" ht="13.8" x14ac:dyDescent="0.25">
      <c r="A22" s="286"/>
      <c r="B22" s="284">
        <v>5</v>
      </c>
      <c r="C22" s="281">
        <f t="shared" si="2"/>
        <v>0</v>
      </c>
      <c r="D22" s="281">
        <f t="shared" si="2"/>
        <v>0</v>
      </c>
      <c r="E22" s="281">
        <f t="shared" si="2"/>
        <v>0</v>
      </c>
      <c r="F22" s="281">
        <f t="shared" si="2"/>
        <v>0</v>
      </c>
      <c r="G22" s="281">
        <f t="shared" si="2"/>
        <v>0</v>
      </c>
      <c r="H22" s="281">
        <f t="shared" si="2"/>
        <v>0</v>
      </c>
      <c r="I22" s="286"/>
      <c r="J22" s="286"/>
      <c r="K22" s="286"/>
      <c r="L22" s="286"/>
      <c r="M22" s="286"/>
    </row>
    <row r="23" spans="1:14" ht="13.8" x14ac:dyDescent="0.25">
      <c r="A23" s="286"/>
      <c r="B23" s="284">
        <v>6</v>
      </c>
      <c r="C23" s="281">
        <f t="shared" si="2"/>
        <v>76</v>
      </c>
      <c r="D23" s="281">
        <f t="shared" si="2"/>
        <v>86</v>
      </c>
      <c r="E23" s="281">
        <f t="shared" si="2"/>
        <v>86</v>
      </c>
      <c r="F23" s="281">
        <f t="shared" si="2"/>
        <v>86</v>
      </c>
      <c r="G23" s="281">
        <f t="shared" si="2"/>
        <v>86</v>
      </c>
      <c r="H23" s="281">
        <f t="shared" si="2"/>
        <v>86</v>
      </c>
      <c r="I23" s="286"/>
      <c r="J23" s="286"/>
      <c r="K23" s="286"/>
      <c r="L23" s="286"/>
      <c r="M23" s="286"/>
    </row>
    <row r="24" spans="1:14" ht="13.8" x14ac:dyDescent="0.25">
      <c r="A24" s="286"/>
      <c r="B24" s="284">
        <v>7</v>
      </c>
      <c r="C24" s="281">
        <f t="shared" si="2"/>
        <v>0</v>
      </c>
      <c r="D24" s="281">
        <f t="shared" si="2"/>
        <v>86</v>
      </c>
      <c r="E24" s="281">
        <f t="shared" si="2"/>
        <v>86</v>
      </c>
      <c r="F24" s="281">
        <f t="shared" si="2"/>
        <v>86</v>
      </c>
      <c r="G24" s="281">
        <f t="shared" si="2"/>
        <v>86</v>
      </c>
      <c r="H24" s="281">
        <f t="shared" si="2"/>
        <v>86</v>
      </c>
      <c r="I24" s="286"/>
      <c r="J24" s="286"/>
      <c r="K24" s="286"/>
      <c r="L24" s="286"/>
      <c r="M24" s="286"/>
    </row>
    <row r="25" spans="1:14" ht="13.8" x14ac:dyDescent="0.25">
      <c r="A25" s="286"/>
      <c r="B25" s="284">
        <v>8</v>
      </c>
      <c r="C25" s="281">
        <f t="shared" si="2"/>
        <v>0</v>
      </c>
      <c r="D25" s="281">
        <f t="shared" si="2"/>
        <v>0</v>
      </c>
      <c r="E25" s="281">
        <f t="shared" si="2"/>
        <v>86</v>
      </c>
      <c r="F25" s="281">
        <f t="shared" si="2"/>
        <v>86</v>
      </c>
      <c r="G25" s="281">
        <f t="shared" si="2"/>
        <v>86</v>
      </c>
      <c r="H25" s="281">
        <f t="shared" si="2"/>
        <v>86</v>
      </c>
      <c r="I25" s="286"/>
      <c r="J25" s="286"/>
      <c r="K25" s="286"/>
      <c r="L25" s="286"/>
      <c r="M25" s="286"/>
    </row>
    <row r="26" spans="1:14" ht="13.8" x14ac:dyDescent="0.25">
      <c r="A26" s="286"/>
      <c r="B26" s="284">
        <v>9</v>
      </c>
      <c r="C26" s="281">
        <f t="shared" si="2"/>
        <v>29</v>
      </c>
      <c r="D26" s="281">
        <f t="shared" si="2"/>
        <v>57</v>
      </c>
      <c r="E26" s="281">
        <f t="shared" si="2"/>
        <v>57</v>
      </c>
      <c r="F26" s="281">
        <f t="shared" si="2"/>
        <v>86</v>
      </c>
      <c r="G26" s="281">
        <f t="shared" si="2"/>
        <v>86</v>
      </c>
      <c r="H26" s="281">
        <f t="shared" si="2"/>
        <v>86</v>
      </c>
      <c r="I26" s="286"/>
      <c r="J26" s="286"/>
      <c r="K26" s="286"/>
      <c r="L26" s="286"/>
      <c r="M26" s="286"/>
    </row>
    <row r="27" spans="1:14" ht="13.8" x14ac:dyDescent="0.25">
      <c r="A27" s="286"/>
      <c r="B27" s="284">
        <v>10</v>
      </c>
      <c r="C27" s="281">
        <f t="shared" si="2"/>
        <v>0</v>
      </c>
      <c r="D27" s="281">
        <f t="shared" si="2"/>
        <v>57</v>
      </c>
      <c r="E27" s="281">
        <f t="shared" si="2"/>
        <v>57</v>
      </c>
      <c r="F27" s="281">
        <f t="shared" si="2"/>
        <v>57</v>
      </c>
      <c r="G27" s="281">
        <f t="shared" si="2"/>
        <v>86</v>
      </c>
      <c r="H27" s="281">
        <f t="shared" si="2"/>
        <v>86</v>
      </c>
      <c r="I27" s="286"/>
      <c r="J27" s="286"/>
      <c r="K27" s="286"/>
      <c r="L27" s="286"/>
      <c r="M27" s="286"/>
    </row>
    <row r="28" spans="1:14" ht="13.8" x14ac:dyDescent="0.25">
      <c r="A28" s="286"/>
      <c r="B28" s="284">
        <v>11</v>
      </c>
      <c r="C28" s="281">
        <f t="shared" si="2"/>
        <v>0</v>
      </c>
      <c r="D28" s="281">
        <f t="shared" si="2"/>
        <v>0</v>
      </c>
      <c r="E28" s="281">
        <f t="shared" si="2"/>
        <v>57</v>
      </c>
      <c r="F28" s="281">
        <f t="shared" si="2"/>
        <v>57</v>
      </c>
      <c r="G28" s="281">
        <f t="shared" si="2"/>
        <v>57</v>
      </c>
      <c r="H28" s="281">
        <f t="shared" si="2"/>
        <v>86</v>
      </c>
      <c r="I28" s="286"/>
      <c r="J28" s="286"/>
      <c r="K28" s="286"/>
      <c r="L28" s="286"/>
      <c r="M28" s="286"/>
    </row>
    <row r="29" spans="1:14" ht="13.8" x14ac:dyDescent="0.25">
      <c r="A29" s="286"/>
      <c r="B29" s="282">
        <v>12</v>
      </c>
      <c r="C29" s="281">
        <f t="shared" si="2"/>
        <v>0</v>
      </c>
      <c r="D29" s="281">
        <f t="shared" si="2"/>
        <v>0</v>
      </c>
      <c r="E29" s="281">
        <f t="shared" si="2"/>
        <v>0</v>
      </c>
      <c r="F29" s="281">
        <f t="shared" si="2"/>
        <v>57</v>
      </c>
      <c r="G29" s="281">
        <f t="shared" si="2"/>
        <v>57</v>
      </c>
      <c r="H29" s="281">
        <f t="shared" si="2"/>
        <v>57</v>
      </c>
      <c r="I29" s="286"/>
      <c r="J29" s="286"/>
      <c r="K29" s="286"/>
      <c r="L29" s="286"/>
      <c r="M29" s="286"/>
    </row>
    <row r="30" spans="1:14" ht="13.8" x14ac:dyDescent="0.25">
      <c r="A30" s="286"/>
      <c r="B30" s="279" t="s">
        <v>158</v>
      </c>
      <c r="C30" s="278">
        <f t="shared" ref="C30:H30" si="3">SUM(C16:C29)</f>
        <v>105</v>
      </c>
      <c r="D30" s="278">
        <f t="shared" si="3"/>
        <v>286</v>
      </c>
      <c r="E30" s="278">
        <f t="shared" si="3"/>
        <v>429</v>
      </c>
      <c r="F30" s="278">
        <f t="shared" si="3"/>
        <v>515</v>
      </c>
      <c r="G30" s="278">
        <f t="shared" si="3"/>
        <v>544</v>
      </c>
      <c r="H30" s="278">
        <f t="shared" si="3"/>
        <v>573</v>
      </c>
      <c r="I30" s="286"/>
      <c r="J30" s="361">
        <f>D30/$D$51</f>
        <v>0.95333333333333337</v>
      </c>
      <c r="K30" s="361">
        <f>E30/$E$51</f>
        <v>0.95333333333333337</v>
      </c>
      <c r="L30" s="361">
        <f>F30/$F$51</f>
        <v>0.95370370370370372</v>
      </c>
      <c r="M30" s="361">
        <f>G30/$G$51</f>
        <v>0.95438596491228067</v>
      </c>
      <c r="N30" s="361">
        <f>H30/$H$51</f>
        <v>0.95499999999999996</v>
      </c>
    </row>
    <row r="31" spans="1:14" x14ac:dyDescent="0.25">
      <c r="A31" s="286"/>
      <c r="B31" s="286"/>
      <c r="C31" s="286"/>
      <c r="D31" s="286"/>
      <c r="E31" s="286"/>
      <c r="F31" s="286"/>
      <c r="G31" s="286"/>
      <c r="H31" s="286"/>
      <c r="I31" s="286"/>
      <c r="J31" s="285"/>
      <c r="K31" s="285"/>
      <c r="L31" s="285"/>
      <c r="M31" s="285"/>
      <c r="N31" s="280"/>
    </row>
    <row r="32" spans="1:14" ht="13.8" x14ac:dyDescent="0.25">
      <c r="A32" s="286"/>
      <c r="B32" s="298" t="s">
        <v>251</v>
      </c>
      <c r="C32" s="286"/>
      <c r="D32" s="286"/>
      <c r="E32" s="286"/>
      <c r="F32" s="286"/>
      <c r="G32" s="286"/>
      <c r="H32" s="286"/>
      <c r="I32" s="286"/>
      <c r="J32" s="285"/>
      <c r="K32" s="285"/>
      <c r="L32" s="285"/>
      <c r="M32" s="285"/>
      <c r="N32" s="280"/>
    </row>
    <row r="33" spans="1:14" ht="13.8" thickBot="1" x14ac:dyDescent="0.3">
      <c r="A33" s="286"/>
      <c r="B33" s="286"/>
      <c r="C33" s="286"/>
      <c r="D33" s="286"/>
      <c r="E33" s="286"/>
      <c r="F33" s="286"/>
      <c r="G33" s="286"/>
      <c r="H33" s="286"/>
      <c r="I33" s="286"/>
      <c r="J33" s="285"/>
      <c r="K33" s="285"/>
      <c r="L33" s="285"/>
      <c r="M33" s="285"/>
      <c r="N33" s="280"/>
    </row>
    <row r="34" spans="1:14" ht="15.75" customHeight="1" x14ac:dyDescent="0.25">
      <c r="A34" s="286"/>
      <c r="B34" s="557" t="s">
        <v>247</v>
      </c>
      <c r="C34" s="560" t="s">
        <v>246</v>
      </c>
      <c r="D34" s="561"/>
      <c r="E34" s="561"/>
      <c r="F34" s="561"/>
      <c r="G34" s="561"/>
      <c r="H34" s="562"/>
      <c r="I34" s="286"/>
      <c r="J34" s="285"/>
      <c r="K34" s="285"/>
      <c r="L34" s="285"/>
      <c r="M34" s="285"/>
      <c r="N34" s="280"/>
    </row>
    <row r="35" spans="1:14" ht="13.8" x14ac:dyDescent="0.25">
      <c r="A35" s="286"/>
      <c r="B35" s="558"/>
      <c r="C35" s="294">
        <f>+C14</f>
        <v>2022</v>
      </c>
      <c r="D35" s="293">
        <f>+C36</f>
        <v>2023</v>
      </c>
      <c r="E35" s="293">
        <f>+D36</f>
        <v>2024</v>
      </c>
      <c r="F35" s="293">
        <f>+E36</f>
        <v>2025</v>
      </c>
      <c r="G35" s="293">
        <f>+F36</f>
        <v>2026</v>
      </c>
      <c r="H35" s="292">
        <f>+G36</f>
        <v>2027</v>
      </c>
      <c r="I35" s="286"/>
      <c r="J35" s="285"/>
      <c r="K35" s="285"/>
      <c r="L35" s="285"/>
      <c r="M35" s="285"/>
      <c r="N35" s="280"/>
    </row>
    <row r="36" spans="1:14" ht="14.4" thickBot="1" x14ac:dyDescent="0.3">
      <c r="A36" s="286"/>
      <c r="B36" s="559"/>
      <c r="C36" s="291">
        <f t="shared" ref="C36:H36" si="4">+C35+1</f>
        <v>2023</v>
      </c>
      <c r="D36" s="290">
        <f t="shared" si="4"/>
        <v>2024</v>
      </c>
      <c r="E36" s="290">
        <f t="shared" si="4"/>
        <v>2025</v>
      </c>
      <c r="F36" s="290">
        <f t="shared" si="4"/>
        <v>2026</v>
      </c>
      <c r="G36" s="290">
        <f t="shared" si="4"/>
        <v>2027</v>
      </c>
      <c r="H36" s="289">
        <f t="shared" si="4"/>
        <v>2028</v>
      </c>
      <c r="I36" s="286"/>
      <c r="J36" s="285"/>
      <c r="K36" s="285"/>
      <c r="L36" s="285"/>
      <c r="M36" s="285"/>
      <c r="N36" s="280"/>
    </row>
    <row r="37" spans="1:14" ht="13.8" x14ac:dyDescent="0.25">
      <c r="A37" s="286"/>
      <c r="B37" s="287" t="s">
        <v>245</v>
      </c>
      <c r="C37" s="288"/>
      <c r="D37" s="288"/>
      <c r="E37" s="288"/>
      <c r="F37" s="288"/>
      <c r="G37" s="288"/>
      <c r="H37" s="288"/>
      <c r="I37" s="286"/>
      <c r="J37" s="285"/>
      <c r="K37" s="285"/>
      <c r="L37" s="285"/>
      <c r="M37" s="285"/>
      <c r="N37" s="280"/>
    </row>
    <row r="38" spans="1:14" ht="13.8" x14ac:dyDescent="0.25">
      <c r="A38" s="286"/>
      <c r="B38" s="287" t="s">
        <v>244</v>
      </c>
      <c r="C38" s="283">
        <f>'6-Year (auto-populated)'!D6</f>
        <v>0</v>
      </c>
      <c r="D38" s="283">
        <f>'6-Year (auto-populated)'!E6</f>
        <v>0</v>
      </c>
      <c r="E38" s="283">
        <f>'6-Year (auto-populated)'!F6</f>
        <v>0</v>
      </c>
      <c r="F38" s="283">
        <f>'6-Year (auto-populated)'!G6</f>
        <v>0</v>
      </c>
      <c r="G38" s="283">
        <f>'6-Year (auto-populated)'!H6</f>
        <v>0</v>
      </c>
      <c r="H38" s="283">
        <f>'6-Year (auto-populated)'!I6</f>
        <v>0</v>
      </c>
      <c r="I38" s="286"/>
      <c r="J38" s="285"/>
      <c r="K38" s="285"/>
      <c r="L38" s="285"/>
      <c r="M38" s="285"/>
      <c r="N38" s="280"/>
    </row>
    <row r="39" spans="1:14" ht="13.8" x14ac:dyDescent="0.25">
      <c r="A39" s="286"/>
      <c r="B39" s="284">
        <v>1</v>
      </c>
      <c r="C39" s="283">
        <f>'6-Year (auto-populated)'!D7</f>
        <v>0</v>
      </c>
      <c r="D39" s="283">
        <f>'6-Year (auto-populated)'!E7</f>
        <v>0</v>
      </c>
      <c r="E39" s="283">
        <f>'6-Year (auto-populated)'!F7</f>
        <v>0</v>
      </c>
      <c r="F39" s="283">
        <f>'6-Year (auto-populated)'!G7</f>
        <v>0</v>
      </c>
      <c r="G39" s="283">
        <f>'6-Year (auto-populated)'!H7</f>
        <v>0</v>
      </c>
      <c r="H39" s="283">
        <f>'6-Year (auto-populated)'!I7</f>
        <v>0</v>
      </c>
      <c r="I39" s="286"/>
      <c r="J39" s="285"/>
      <c r="K39" s="285"/>
      <c r="L39" s="285"/>
      <c r="M39" s="285"/>
      <c r="N39" s="280"/>
    </row>
    <row r="40" spans="1:14" ht="13.8" x14ac:dyDescent="0.25">
      <c r="A40" s="286"/>
      <c r="B40" s="284">
        <v>2</v>
      </c>
      <c r="C40" s="283">
        <f>'6-Year (auto-populated)'!D8</f>
        <v>0</v>
      </c>
      <c r="D40" s="283">
        <f>'6-Year (auto-populated)'!E8</f>
        <v>0</v>
      </c>
      <c r="E40" s="283">
        <f>'6-Year (auto-populated)'!F8</f>
        <v>0</v>
      </c>
      <c r="F40" s="283">
        <f>'6-Year (auto-populated)'!G8</f>
        <v>0</v>
      </c>
      <c r="G40" s="283">
        <f>'6-Year (auto-populated)'!H8</f>
        <v>0</v>
      </c>
      <c r="H40" s="283">
        <f>'6-Year (auto-populated)'!I8</f>
        <v>0</v>
      </c>
      <c r="I40" s="286"/>
      <c r="J40" s="285"/>
      <c r="K40" s="285"/>
      <c r="L40" s="285"/>
      <c r="M40" s="285"/>
      <c r="N40" s="280"/>
    </row>
    <row r="41" spans="1:14" ht="13.8" x14ac:dyDescent="0.25">
      <c r="A41" s="286"/>
      <c r="B41" s="284">
        <v>3</v>
      </c>
      <c r="C41" s="283">
        <f>'6-Year (auto-populated)'!D9</f>
        <v>0</v>
      </c>
      <c r="D41" s="283">
        <f>'6-Year (auto-populated)'!E9</f>
        <v>0</v>
      </c>
      <c r="E41" s="283">
        <f>'6-Year (auto-populated)'!F9</f>
        <v>0</v>
      </c>
      <c r="F41" s="283">
        <f>'6-Year (auto-populated)'!G9</f>
        <v>0</v>
      </c>
      <c r="G41" s="283">
        <f>'6-Year (auto-populated)'!H9</f>
        <v>0</v>
      </c>
      <c r="H41" s="283">
        <f>'6-Year (auto-populated)'!I9</f>
        <v>0</v>
      </c>
      <c r="I41" s="286"/>
      <c r="J41" s="285"/>
      <c r="K41" s="285"/>
      <c r="L41" s="285"/>
      <c r="M41" s="285"/>
      <c r="N41" s="280"/>
    </row>
    <row r="42" spans="1:14" ht="13.8" x14ac:dyDescent="0.25">
      <c r="A42" s="286"/>
      <c r="B42" s="284">
        <v>4</v>
      </c>
      <c r="C42" s="283">
        <f>'6-Year (auto-populated)'!D10</f>
        <v>0</v>
      </c>
      <c r="D42" s="283">
        <f>'6-Year (auto-populated)'!E10</f>
        <v>0</v>
      </c>
      <c r="E42" s="283">
        <f>'6-Year (auto-populated)'!F10</f>
        <v>0</v>
      </c>
      <c r="F42" s="283">
        <f>'6-Year (auto-populated)'!G10</f>
        <v>0</v>
      </c>
      <c r="G42" s="283">
        <f>'6-Year (auto-populated)'!H10</f>
        <v>0</v>
      </c>
      <c r="H42" s="283">
        <f>'6-Year (auto-populated)'!I10</f>
        <v>0</v>
      </c>
      <c r="I42" s="286"/>
      <c r="J42" s="285"/>
      <c r="K42" s="285"/>
      <c r="L42" s="285"/>
      <c r="M42" s="285"/>
      <c r="N42" s="280"/>
    </row>
    <row r="43" spans="1:14" ht="13.8" x14ac:dyDescent="0.25">
      <c r="A43" s="286"/>
      <c r="B43" s="284">
        <v>5</v>
      </c>
      <c r="C43" s="283">
        <f>'6-Year (auto-populated)'!D11</f>
        <v>0</v>
      </c>
      <c r="D43" s="283">
        <f>'6-Year (auto-populated)'!E11</f>
        <v>0</v>
      </c>
      <c r="E43" s="283">
        <f>'6-Year (auto-populated)'!F11</f>
        <v>0</v>
      </c>
      <c r="F43" s="283">
        <f>'6-Year (auto-populated)'!G11</f>
        <v>0</v>
      </c>
      <c r="G43" s="283">
        <f>'6-Year (auto-populated)'!H11</f>
        <v>0</v>
      </c>
      <c r="H43" s="283">
        <f>'6-Year (auto-populated)'!I11</f>
        <v>0</v>
      </c>
      <c r="I43" s="286"/>
      <c r="J43" s="285"/>
      <c r="K43" s="285"/>
      <c r="L43" s="285"/>
      <c r="M43" s="285"/>
      <c r="N43" s="280"/>
    </row>
    <row r="44" spans="1:14" ht="13.8" x14ac:dyDescent="0.25">
      <c r="A44" s="286"/>
      <c r="B44" s="284">
        <v>6</v>
      </c>
      <c r="C44" s="283">
        <f>'6-Year (auto-populated)'!D12</f>
        <v>80</v>
      </c>
      <c r="D44" s="283">
        <f>'6-Year (auto-populated)'!E12</f>
        <v>90</v>
      </c>
      <c r="E44" s="283">
        <f>'6-Year (auto-populated)'!F12</f>
        <v>90</v>
      </c>
      <c r="F44" s="283">
        <f>'6-Year (auto-populated)'!G12</f>
        <v>90</v>
      </c>
      <c r="G44" s="283">
        <f>'6-Year (auto-populated)'!H12</f>
        <v>90</v>
      </c>
      <c r="H44" s="283">
        <f>'6-Year (auto-populated)'!I12</f>
        <v>90</v>
      </c>
      <c r="I44" s="286"/>
      <c r="J44" s="285"/>
      <c r="K44" s="285"/>
      <c r="L44" s="285"/>
      <c r="M44" s="285"/>
      <c r="N44" s="280"/>
    </row>
    <row r="45" spans="1:14" ht="13.8" x14ac:dyDescent="0.25">
      <c r="A45" s="286"/>
      <c r="B45" s="284">
        <v>7</v>
      </c>
      <c r="C45" s="283">
        <f>'6-Year (auto-populated)'!D13</f>
        <v>0</v>
      </c>
      <c r="D45" s="283">
        <f>'6-Year (auto-populated)'!E13</f>
        <v>90</v>
      </c>
      <c r="E45" s="283">
        <f>'6-Year (auto-populated)'!F13</f>
        <v>90</v>
      </c>
      <c r="F45" s="283">
        <f>'6-Year (auto-populated)'!G13</f>
        <v>90</v>
      </c>
      <c r="G45" s="283">
        <f>'6-Year (auto-populated)'!H13</f>
        <v>90</v>
      </c>
      <c r="H45" s="283">
        <f>'6-Year (auto-populated)'!I13</f>
        <v>90</v>
      </c>
      <c r="I45" s="286"/>
      <c r="J45" s="285"/>
      <c r="K45" s="285"/>
      <c r="L45" s="285"/>
      <c r="M45" s="285"/>
      <c r="N45" s="280"/>
    </row>
    <row r="46" spans="1:14" ht="13.8" x14ac:dyDescent="0.25">
      <c r="A46" s="286"/>
      <c r="B46" s="284">
        <v>8</v>
      </c>
      <c r="C46" s="283">
        <f>'6-Year (auto-populated)'!D14</f>
        <v>0</v>
      </c>
      <c r="D46" s="283">
        <f>'6-Year (auto-populated)'!E14</f>
        <v>0</v>
      </c>
      <c r="E46" s="283">
        <f>'6-Year (auto-populated)'!F14</f>
        <v>90</v>
      </c>
      <c r="F46" s="283">
        <f>'6-Year (auto-populated)'!G14</f>
        <v>90</v>
      </c>
      <c r="G46" s="283">
        <f>'6-Year (auto-populated)'!H14</f>
        <v>90</v>
      </c>
      <c r="H46" s="283">
        <f>'6-Year (auto-populated)'!I14</f>
        <v>90</v>
      </c>
      <c r="I46" s="286"/>
      <c r="J46" s="285"/>
      <c r="K46" s="285"/>
      <c r="L46" s="285"/>
      <c r="M46" s="285"/>
      <c r="N46" s="280"/>
    </row>
    <row r="47" spans="1:14" ht="13.8" x14ac:dyDescent="0.25">
      <c r="A47" s="286"/>
      <c r="B47" s="284">
        <v>9</v>
      </c>
      <c r="C47" s="283">
        <f>'6-Year (auto-populated)'!D15</f>
        <v>30</v>
      </c>
      <c r="D47" s="283">
        <f>'6-Year (auto-populated)'!E15</f>
        <v>60</v>
      </c>
      <c r="E47" s="283">
        <f>'6-Year (auto-populated)'!F15</f>
        <v>60</v>
      </c>
      <c r="F47" s="283">
        <f>'6-Year (auto-populated)'!G15</f>
        <v>90</v>
      </c>
      <c r="G47" s="283">
        <f>'6-Year (auto-populated)'!H15</f>
        <v>90</v>
      </c>
      <c r="H47" s="283">
        <f>'6-Year (auto-populated)'!I15</f>
        <v>90</v>
      </c>
      <c r="I47" s="286"/>
      <c r="J47" s="285"/>
      <c r="K47" s="285"/>
      <c r="L47" s="285"/>
      <c r="M47" s="285"/>
      <c r="N47" s="280"/>
    </row>
    <row r="48" spans="1:14" ht="13.8" x14ac:dyDescent="0.25">
      <c r="A48" s="286"/>
      <c r="B48" s="284">
        <v>10</v>
      </c>
      <c r="C48" s="283">
        <f>'6-Year (auto-populated)'!D16</f>
        <v>0</v>
      </c>
      <c r="D48" s="283">
        <f>'6-Year (auto-populated)'!E16</f>
        <v>60</v>
      </c>
      <c r="E48" s="283">
        <f>'6-Year (auto-populated)'!F16</f>
        <v>60</v>
      </c>
      <c r="F48" s="283">
        <f>'6-Year (auto-populated)'!G16</f>
        <v>60</v>
      </c>
      <c r="G48" s="283">
        <f>'6-Year (auto-populated)'!H16</f>
        <v>90</v>
      </c>
      <c r="H48" s="283">
        <f>'6-Year (auto-populated)'!I16</f>
        <v>90</v>
      </c>
      <c r="I48" s="286"/>
      <c r="J48" s="285"/>
      <c r="K48" s="285"/>
      <c r="L48" s="285"/>
      <c r="M48" s="285"/>
      <c r="N48" s="280"/>
    </row>
    <row r="49" spans="1:14" ht="13.8" x14ac:dyDescent="0.25">
      <c r="A49" s="286"/>
      <c r="B49" s="284">
        <v>11</v>
      </c>
      <c r="C49" s="283">
        <f>'6-Year (auto-populated)'!D17</f>
        <v>0</v>
      </c>
      <c r="D49" s="283">
        <f>'6-Year (auto-populated)'!E17</f>
        <v>0</v>
      </c>
      <c r="E49" s="283">
        <f>'6-Year (auto-populated)'!F17</f>
        <v>60</v>
      </c>
      <c r="F49" s="283">
        <f>'6-Year (auto-populated)'!G17</f>
        <v>60</v>
      </c>
      <c r="G49" s="283">
        <f>'6-Year (auto-populated)'!H17</f>
        <v>60</v>
      </c>
      <c r="H49" s="283">
        <f>'6-Year (auto-populated)'!I17</f>
        <v>90</v>
      </c>
      <c r="I49" s="286"/>
      <c r="J49" s="285"/>
      <c r="K49" s="285"/>
      <c r="L49" s="285"/>
      <c r="M49" s="285"/>
      <c r="N49" s="280"/>
    </row>
    <row r="50" spans="1:14" ht="13.8" x14ac:dyDescent="0.25">
      <c r="A50" s="286"/>
      <c r="B50" s="282">
        <v>12</v>
      </c>
      <c r="C50" s="283">
        <f>'6-Year (auto-populated)'!D18</f>
        <v>0</v>
      </c>
      <c r="D50" s="283">
        <f>'6-Year (auto-populated)'!E18</f>
        <v>0</v>
      </c>
      <c r="E50" s="283">
        <f>'6-Year (auto-populated)'!F18</f>
        <v>0</v>
      </c>
      <c r="F50" s="283">
        <f>'6-Year (auto-populated)'!G18</f>
        <v>60</v>
      </c>
      <c r="G50" s="283">
        <f>'6-Year (auto-populated)'!H18</f>
        <v>60</v>
      </c>
      <c r="H50" s="283">
        <f>'6-Year (auto-populated)'!I18</f>
        <v>60</v>
      </c>
      <c r="I50" s="286"/>
      <c r="J50" s="285"/>
      <c r="K50" s="285"/>
      <c r="L50" s="285"/>
      <c r="M50" s="285"/>
      <c r="N50" s="280"/>
    </row>
    <row r="51" spans="1:14" ht="13.8" x14ac:dyDescent="0.25">
      <c r="A51" s="286"/>
      <c r="B51" s="279" t="s">
        <v>158</v>
      </c>
      <c r="C51" s="278">
        <f t="shared" ref="C51:H51" si="5">SUM(C37:C50)</f>
        <v>110</v>
      </c>
      <c r="D51" s="278">
        <f t="shared" si="5"/>
        <v>300</v>
      </c>
      <c r="E51" s="278">
        <f t="shared" si="5"/>
        <v>450</v>
      </c>
      <c r="F51" s="278">
        <f t="shared" si="5"/>
        <v>540</v>
      </c>
      <c r="G51" s="278">
        <f t="shared" si="5"/>
        <v>570</v>
      </c>
      <c r="H51" s="278">
        <f t="shared" si="5"/>
        <v>600</v>
      </c>
      <c r="I51" s="286"/>
      <c r="J51" s="277">
        <f>D51/$D$51</f>
        <v>1</v>
      </c>
      <c r="K51" s="277">
        <f>E51/$E$51</f>
        <v>1</v>
      </c>
      <c r="L51" s="277">
        <f>F51/$F$51</f>
        <v>1</v>
      </c>
      <c r="M51" s="277">
        <f>G51/$G$51</f>
        <v>1</v>
      </c>
      <c r="N51" s="277">
        <f>H51/$H$51</f>
        <v>1</v>
      </c>
    </row>
    <row r="52" spans="1:14" x14ac:dyDescent="0.25">
      <c r="A52" s="286"/>
      <c r="B52" s="286"/>
      <c r="C52" s="286"/>
      <c r="D52" s="286"/>
      <c r="E52" s="286"/>
      <c r="F52" s="286"/>
      <c r="G52" s="286"/>
      <c r="H52" s="286"/>
      <c r="I52" s="286"/>
      <c r="J52" s="285"/>
      <c r="K52" s="285"/>
      <c r="L52" s="285"/>
      <c r="M52" s="285"/>
      <c r="N52" s="280"/>
    </row>
    <row r="53" spans="1:14" ht="13.8" x14ac:dyDescent="0.25">
      <c r="A53" s="286"/>
      <c r="B53" s="297" t="s">
        <v>250</v>
      </c>
      <c r="C53" s="295"/>
      <c r="D53" s="295"/>
      <c r="E53" s="295"/>
      <c r="F53" s="295"/>
      <c r="G53" s="295"/>
      <c r="H53" s="295"/>
      <c r="I53" s="286"/>
      <c r="J53" s="285"/>
      <c r="K53" s="285"/>
      <c r="L53" s="285"/>
      <c r="M53" s="285"/>
      <c r="N53" s="280"/>
    </row>
    <row r="54" spans="1:14" ht="13.8" x14ac:dyDescent="0.25">
      <c r="A54" s="286"/>
      <c r="B54" s="297" t="s">
        <v>249</v>
      </c>
      <c r="C54" s="295"/>
      <c r="D54" s="295"/>
      <c r="E54" s="295"/>
      <c r="F54" s="295"/>
      <c r="G54" s="295"/>
      <c r="H54" s="295"/>
      <c r="I54" s="286"/>
      <c r="J54" s="285"/>
      <c r="K54" s="285"/>
      <c r="L54" s="285"/>
      <c r="M54" s="285"/>
      <c r="N54" s="280"/>
    </row>
    <row r="55" spans="1:14" x14ac:dyDescent="0.25">
      <c r="A55" s="286"/>
      <c r="B55" s="296" t="s">
        <v>248</v>
      </c>
      <c r="C55" s="295"/>
      <c r="D55" s="295"/>
      <c r="E55" s="295"/>
      <c r="F55" s="295"/>
      <c r="G55" s="295"/>
      <c r="H55" s="295"/>
      <c r="I55" s="286"/>
      <c r="J55" s="285"/>
      <c r="K55" s="285"/>
      <c r="L55" s="285"/>
      <c r="M55" s="285"/>
      <c r="N55" s="280"/>
    </row>
    <row r="56" spans="1:14" ht="13.8" thickBot="1" x14ac:dyDescent="0.3">
      <c r="A56" s="286"/>
      <c r="B56" s="286"/>
      <c r="C56" s="286"/>
      <c r="D56" s="286"/>
      <c r="E56" s="286"/>
      <c r="F56" s="286"/>
      <c r="G56" s="286"/>
      <c r="H56" s="286"/>
      <c r="I56" s="286"/>
      <c r="J56" s="285"/>
      <c r="K56" s="285"/>
      <c r="L56" s="285"/>
      <c r="M56" s="285"/>
      <c r="N56" s="280"/>
    </row>
    <row r="57" spans="1:14" ht="15.75" customHeight="1" x14ac:dyDescent="0.25">
      <c r="A57" s="286"/>
      <c r="B57" s="557" t="s">
        <v>247</v>
      </c>
      <c r="C57" s="560" t="s">
        <v>246</v>
      </c>
      <c r="D57" s="561"/>
      <c r="E57" s="561"/>
      <c r="F57" s="561"/>
      <c r="G57" s="561"/>
      <c r="H57" s="562"/>
      <c r="I57" s="286"/>
      <c r="J57" s="285"/>
      <c r="K57" s="285"/>
      <c r="L57" s="285"/>
      <c r="M57" s="285"/>
      <c r="N57" s="280"/>
    </row>
    <row r="58" spans="1:14" ht="13.8" x14ac:dyDescent="0.25">
      <c r="A58" s="286"/>
      <c r="B58" s="558"/>
      <c r="C58" s="294">
        <f>+C14</f>
        <v>2022</v>
      </c>
      <c r="D58" s="293">
        <f>+C59</f>
        <v>2023</v>
      </c>
      <c r="E58" s="293">
        <f>+D59</f>
        <v>2024</v>
      </c>
      <c r="F58" s="293">
        <f>+E59</f>
        <v>2025</v>
      </c>
      <c r="G58" s="293">
        <f>+F59</f>
        <v>2026</v>
      </c>
      <c r="H58" s="292">
        <f>+G59</f>
        <v>2027</v>
      </c>
      <c r="I58" s="286"/>
      <c r="J58" s="285"/>
      <c r="K58" s="285"/>
      <c r="L58" s="285"/>
      <c r="M58" s="285"/>
      <c r="N58" s="280"/>
    </row>
    <row r="59" spans="1:14" ht="14.4" thickBot="1" x14ac:dyDescent="0.3">
      <c r="A59" s="286"/>
      <c r="B59" s="559"/>
      <c r="C59" s="291">
        <f t="shared" ref="C59:H59" si="6">+C58+1</f>
        <v>2023</v>
      </c>
      <c r="D59" s="290">
        <f t="shared" si="6"/>
        <v>2024</v>
      </c>
      <c r="E59" s="290">
        <f t="shared" si="6"/>
        <v>2025</v>
      </c>
      <c r="F59" s="290">
        <f t="shared" si="6"/>
        <v>2026</v>
      </c>
      <c r="G59" s="290">
        <f t="shared" si="6"/>
        <v>2027</v>
      </c>
      <c r="H59" s="289">
        <f t="shared" si="6"/>
        <v>2028</v>
      </c>
      <c r="I59" s="286"/>
      <c r="J59" s="285"/>
      <c r="K59" s="285"/>
      <c r="L59" s="285"/>
      <c r="M59" s="285"/>
      <c r="N59" s="280"/>
    </row>
    <row r="60" spans="1:14" ht="13.8" x14ac:dyDescent="0.25">
      <c r="A60" s="286"/>
      <c r="B60" s="287" t="s">
        <v>245</v>
      </c>
      <c r="C60" s="288"/>
      <c r="D60" s="288"/>
      <c r="E60" s="288"/>
      <c r="F60" s="288"/>
      <c r="G60" s="288"/>
      <c r="H60" s="288"/>
      <c r="I60" s="286"/>
      <c r="J60" s="285"/>
      <c r="K60" s="285"/>
      <c r="L60" s="285"/>
      <c r="M60" s="285"/>
      <c r="N60" s="280"/>
    </row>
    <row r="61" spans="1:14" ht="13.8" x14ac:dyDescent="0.25">
      <c r="A61" s="286"/>
      <c r="B61" s="287" t="s">
        <v>244</v>
      </c>
      <c r="C61" s="283">
        <v>0</v>
      </c>
      <c r="D61" s="281">
        <f t="shared" ref="C61:H67" si="7">ROUND(D38*1.05,0)</f>
        <v>0</v>
      </c>
      <c r="E61" s="281">
        <f t="shared" si="7"/>
        <v>0</v>
      </c>
      <c r="F61" s="281">
        <f t="shared" si="7"/>
        <v>0</v>
      </c>
      <c r="G61" s="281">
        <f t="shared" si="7"/>
        <v>0</v>
      </c>
      <c r="H61" s="281">
        <f t="shared" si="7"/>
        <v>0</v>
      </c>
      <c r="I61" s="286"/>
      <c r="J61" s="285"/>
      <c r="K61" s="285"/>
      <c r="L61" s="285"/>
      <c r="M61" s="285"/>
      <c r="N61" s="280"/>
    </row>
    <row r="62" spans="1:14" ht="13.8" x14ac:dyDescent="0.25">
      <c r="A62" s="286"/>
      <c r="B62" s="284">
        <v>1</v>
      </c>
      <c r="C62" s="283">
        <v>0</v>
      </c>
      <c r="D62" s="281">
        <f t="shared" si="7"/>
        <v>0</v>
      </c>
      <c r="E62" s="281">
        <f t="shared" si="7"/>
        <v>0</v>
      </c>
      <c r="F62" s="281">
        <f t="shared" si="7"/>
        <v>0</v>
      </c>
      <c r="G62" s="281">
        <f t="shared" si="7"/>
        <v>0</v>
      </c>
      <c r="H62" s="281">
        <f t="shared" si="7"/>
        <v>0</v>
      </c>
      <c r="I62" s="286"/>
      <c r="J62" s="285"/>
      <c r="K62" s="285"/>
      <c r="L62" s="285"/>
      <c r="M62" s="285"/>
      <c r="N62" s="280"/>
    </row>
    <row r="63" spans="1:14" ht="13.8" x14ac:dyDescent="0.25">
      <c r="A63" s="286"/>
      <c r="B63" s="284">
        <v>2</v>
      </c>
      <c r="C63" s="283">
        <v>0</v>
      </c>
      <c r="D63" s="281">
        <f t="shared" si="7"/>
        <v>0</v>
      </c>
      <c r="E63" s="281">
        <f t="shared" si="7"/>
        <v>0</v>
      </c>
      <c r="F63" s="281">
        <f t="shared" si="7"/>
        <v>0</v>
      </c>
      <c r="G63" s="281">
        <f t="shared" si="7"/>
        <v>0</v>
      </c>
      <c r="H63" s="281">
        <f t="shared" si="7"/>
        <v>0</v>
      </c>
      <c r="I63" s="286"/>
      <c r="J63" s="285"/>
      <c r="K63" s="285"/>
      <c r="L63" s="285"/>
      <c r="M63" s="285"/>
      <c r="N63" s="280"/>
    </row>
    <row r="64" spans="1:14" ht="13.8" x14ac:dyDescent="0.25">
      <c r="A64" s="286"/>
      <c r="B64" s="284">
        <v>3</v>
      </c>
      <c r="C64" s="283">
        <v>0</v>
      </c>
      <c r="D64" s="281">
        <f t="shared" si="7"/>
        <v>0</v>
      </c>
      <c r="E64" s="281">
        <f t="shared" si="7"/>
        <v>0</v>
      </c>
      <c r="F64" s="281">
        <f t="shared" si="7"/>
        <v>0</v>
      </c>
      <c r="G64" s="281">
        <f t="shared" si="7"/>
        <v>0</v>
      </c>
      <c r="H64" s="281">
        <f t="shared" si="7"/>
        <v>0</v>
      </c>
      <c r="I64" s="286"/>
      <c r="J64" s="285"/>
      <c r="K64" s="285"/>
      <c r="L64" s="285"/>
      <c r="M64" s="285"/>
      <c r="N64" s="280"/>
    </row>
    <row r="65" spans="2:14" ht="13.8" x14ac:dyDescent="0.25">
      <c r="B65" s="284">
        <v>4</v>
      </c>
      <c r="C65" s="283">
        <v>0</v>
      </c>
      <c r="D65" s="281">
        <f t="shared" si="7"/>
        <v>0</v>
      </c>
      <c r="E65" s="281">
        <f t="shared" si="7"/>
        <v>0</v>
      </c>
      <c r="F65" s="281">
        <f t="shared" si="7"/>
        <v>0</v>
      </c>
      <c r="G65" s="281">
        <f t="shared" si="7"/>
        <v>0</v>
      </c>
      <c r="H65" s="281">
        <f t="shared" si="7"/>
        <v>0</v>
      </c>
      <c r="J65" s="280"/>
      <c r="K65" s="280"/>
      <c r="L65" s="280"/>
      <c r="M65" s="280"/>
      <c r="N65" s="280"/>
    </row>
    <row r="66" spans="2:14" ht="13.8" x14ac:dyDescent="0.25">
      <c r="B66" s="284">
        <v>5</v>
      </c>
      <c r="C66" s="283">
        <v>0</v>
      </c>
      <c r="D66" s="281">
        <f t="shared" si="7"/>
        <v>0</v>
      </c>
      <c r="E66" s="281">
        <f t="shared" si="7"/>
        <v>0</v>
      </c>
      <c r="F66" s="281">
        <f t="shared" si="7"/>
        <v>0</v>
      </c>
      <c r="G66" s="281">
        <f t="shared" si="7"/>
        <v>0</v>
      </c>
      <c r="H66" s="281">
        <f t="shared" si="7"/>
        <v>0</v>
      </c>
      <c r="J66" s="280"/>
      <c r="K66" s="280"/>
      <c r="L66" s="280"/>
      <c r="M66" s="280"/>
      <c r="N66" s="280"/>
    </row>
    <row r="67" spans="2:14" ht="13.8" x14ac:dyDescent="0.25">
      <c r="B67" s="284">
        <v>6</v>
      </c>
      <c r="C67" s="281">
        <f t="shared" si="7"/>
        <v>84</v>
      </c>
      <c r="D67" s="281">
        <f t="shared" ref="D67:H67" si="8">ROUND(D44*1.05,0)</f>
        <v>95</v>
      </c>
      <c r="E67" s="281">
        <f t="shared" si="8"/>
        <v>95</v>
      </c>
      <c r="F67" s="281">
        <f t="shared" si="8"/>
        <v>95</v>
      </c>
      <c r="G67" s="281">
        <f t="shared" si="8"/>
        <v>95</v>
      </c>
      <c r="H67" s="281">
        <f t="shared" si="8"/>
        <v>95</v>
      </c>
      <c r="J67" s="280"/>
      <c r="K67" s="280"/>
      <c r="L67" s="280"/>
      <c r="M67" s="280"/>
      <c r="N67" s="280"/>
    </row>
    <row r="68" spans="2:14" ht="13.8" x14ac:dyDescent="0.25">
      <c r="B68" s="284">
        <v>7</v>
      </c>
      <c r="C68" s="281">
        <f t="shared" ref="C68:H68" si="9">ROUND(C45*1.05,0)</f>
        <v>0</v>
      </c>
      <c r="D68" s="281">
        <f t="shared" si="9"/>
        <v>95</v>
      </c>
      <c r="E68" s="281">
        <f t="shared" si="9"/>
        <v>95</v>
      </c>
      <c r="F68" s="281">
        <f t="shared" si="9"/>
        <v>95</v>
      </c>
      <c r="G68" s="281">
        <f t="shared" si="9"/>
        <v>95</v>
      </c>
      <c r="H68" s="281">
        <f t="shared" si="9"/>
        <v>95</v>
      </c>
      <c r="J68" s="280"/>
      <c r="K68" s="280"/>
      <c r="L68" s="280"/>
      <c r="M68" s="280"/>
      <c r="N68" s="280"/>
    </row>
    <row r="69" spans="2:14" ht="13.8" x14ac:dyDescent="0.25">
      <c r="B69" s="284">
        <v>8</v>
      </c>
      <c r="C69" s="281">
        <f t="shared" ref="C69:H69" si="10">ROUND(C46*1.05,0)</f>
        <v>0</v>
      </c>
      <c r="D69" s="281">
        <f t="shared" si="10"/>
        <v>0</v>
      </c>
      <c r="E69" s="281">
        <f t="shared" si="10"/>
        <v>95</v>
      </c>
      <c r="F69" s="281">
        <f t="shared" si="10"/>
        <v>95</v>
      </c>
      <c r="G69" s="281">
        <f t="shared" si="10"/>
        <v>95</v>
      </c>
      <c r="H69" s="281">
        <f t="shared" si="10"/>
        <v>95</v>
      </c>
      <c r="J69" s="280"/>
      <c r="K69" s="280"/>
      <c r="L69" s="280"/>
      <c r="M69" s="280"/>
      <c r="N69" s="280"/>
    </row>
    <row r="70" spans="2:14" ht="13.8" x14ac:dyDescent="0.25">
      <c r="B70" s="284">
        <v>9</v>
      </c>
      <c r="C70" s="281">
        <f t="shared" ref="C70:H70" si="11">ROUND(C47*1.05,0)</f>
        <v>32</v>
      </c>
      <c r="D70" s="281">
        <f t="shared" si="11"/>
        <v>63</v>
      </c>
      <c r="E70" s="281">
        <f t="shared" si="11"/>
        <v>63</v>
      </c>
      <c r="F70" s="281">
        <f t="shared" si="11"/>
        <v>95</v>
      </c>
      <c r="G70" s="281">
        <f t="shared" si="11"/>
        <v>95</v>
      </c>
      <c r="H70" s="281">
        <f t="shared" si="11"/>
        <v>95</v>
      </c>
      <c r="J70" s="280"/>
      <c r="K70" s="280"/>
      <c r="L70" s="280"/>
      <c r="M70" s="280"/>
      <c r="N70" s="280"/>
    </row>
    <row r="71" spans="2:14" ht="13.8" x14ac:dyDescent="0.25">
      <c r="B71" s="284">
        <v>10</v>
      </c>
      <c r="C71" s="281">
        <f t="shared" ref="C71:H71" si="12">ROUND(C48*1.05,0)</f>
        <v>0</v>
      </c>
      <c r="D71" s="281">
        <f t="shared" si="12"/>
        <v>63</v>
      </c>
      <c r="E71" s="281">
        <f t="shared" si="12"/>
        <v>63</v>
      </c>
      <c r="F71" s="281">
        <f t="shared" si="12"/>
        <v>63</v>
      </c>
      <c r="G71" s="281">
        <f t="shared" si="12"/>
        <v>95</v>
      </c>
      <c r="H71" s="281">
        <f t="shared" si="12"/>
        <v>95</v>
      </c>
      <c r="J71" s="280"/>
      <c r="K71" s="280"/>
      <c r="L71" s="280"/>
      <c r="M71" s="280"/>
      <c r="N71" s="280"/>
    </row>
    <row r="72" spans="2:14" ht="13.8" x14ac:dyDescent="0.25">
      <c r="B72" s="284">
        <v>11</v>
      </c>
      <c r="C72" s="281">
        <f t="shared" ref="C72:H72" si="13">ROUND(C49*1.05,0)</f>
        <v>0</v>
      </c>
      <c r="D72" s="281">
        <f t="shared" si="13"/>
        <v>0</v>
      </c>
      <c r="E72" s="281">
        <f t="shared" si="13"/>
        <v>63</v>
      </c>
      <c r="F72" s="281">
        <f t="shared" si="13"/>
        <v>63</v>
      </c>
      <c r="G72" s="281">
        <f t="shared" si="13"/>
        <v>63</v>
      </c>
      <c r="H72" s="281">
        <f t="shared" si="13"/>
        <v>95</v>
      </c>
      <c r="J72" s="280"/>
      <c r="K72" s="280"/>
      <c r="L72" s="280"/>
      <c r="M72" s="280"/>
      <c r="N72" s="280"/>
    </row>
    <row r="73" spans="2:14" ht="13.8" x14ac:dyDescent="0.25">
      <c r="B73" s="282">
        <v>12</v>
      </c>
      <c r="C73" s="281">
        <f t="shared" ref="C73:H73" si="14">ROUND(C50*1.05,0)</f>
        <v>0</v>
      </c>
      <c r="D73" s="281">
        <f t="shared" si="14"/>
        <v>0</v>
      </c>
      <c r="E73" s="281">
        <f t="shared" si="14"/>
        <v>0</v>
      </c>
      <c r="F73" s="281">
        <f t="shared" si="14"/>
        <v>63</v>
      </c>
      <c r="G73" s="281">
        <f t="shared" si="14"/>
        <v>63</v>
      </c>
      <c r="H73" s="281">
        <f t="shared" si="14"/>
        <v>63</v>
      </c>
      <c r="J73" s="280"/>
      <c r="K73" s="280"/>
      <c r="L73" s="280"/>
      <c r="M73" s="280"/>
      <c r="N73" s="280"/>
    </row>
    <row r="74" spans="2:14" ht="13.8" x14ac:dyDescent="0.25">
      <c r="B74" s="279" t="s">
        <v>158</v>
      </c>
      <c r="C74" s="278">
        <f t="shared" ref="C74:H74" si="15">SUM(C60:C73)</f>
        <v>116</v>
      </c>
      <c r="D74" s="278">
        <f t="shared" si="15"/>
        <v>316</v>
      </c>
      <c r="E74" s="278">
        <f t="shared" si="15"/>
        <v>474</v>
      </c>
      <c r="F74" s="278">
        <f t="shared" si="15"/>
        <v>569</v>
      </c>
      <c r="G74" s="278">
        <f t="shared" si="15"/>
        <v>601</v>
      </c>
      <c r="H74" s="278">
        <f t="shared" si="15"/>
        <v>633</v>
      </c>
      <c r="J74" s="361">
        <f>D74/$D$51</f>
        <v>1.0533333333333332</v>
      </c>
      <c r="K74" s="361">
        <f>E74/$E$51</f>
        <v>1.0533333333333332</v>
      </c>
      <c r="L74" s="361">
        <f>F74/$F$51</f>
        <v>1.0537037037037038</v>
      </c>
      <c r="M74" s="361">
        <f>G74/$G$51</f>
        <v>1.0543859649122806</v>
      </c>
      <c r="N74" s="361">
        <f>H74/$H$51</f>
        <v>1.0549999999999999</v>
      </c>
    </row>
  </sheetData>
  <mergeCells count="6">
    <mergeCell ref="B13:B15"/>
    <mergeCell ref="C13:H13"/>
    <mergeCell ref="C34:H34"/>
    <mergeCell ref="C57:H57"/>
    <mergeCell ref="B34:B36"/>
    <mergeCell ref="B57:B59"/>
  </mergeCells>
  <pageMargins left="0.35" right="0.25" top="0.32" bottom="0.5" header="0.32" footer="0.3"/>
  <pageSetup scale="97" orientation="portrait" r:id="rId1"/>
  <headerFooter alignWithMargins="0">
    <oddFooter>&amp;L&amp;7&amp;D  at &amp;T Mike 702.486.8879&amp;C&amp;7Page &amp;P of &amp;N&amp;R&amp;7&amp;F  &amp;A</oddFooter>
  </headerFooter>
  <rowBreaks count="1" manualBreakCount="1">
    <brk id="52" max="8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00"/>
  </sheetPr>
  <dimension ref="A1:U138"/>
  <sheetViews>
    <sheetView showGridLines="0" zoomScale="75" zoomScaleNormal="75" zoomScaleSheetLayoutView="100" workbookViewId="0">
      <selection activeCell="C117" sqref="C117"/>
    </sheetView>
  </sheetViews>
  <sheetFormatPr defaultColWidth="8.88671875" defaultRowHeight="13.2" x14ac:dyDescent="0.25"/>
  <cols>
    <col min="1" max="1" width="2.6640625" style="276" customWidth="1"/>
    <col min="2" max="2" width="43.21875" style="276" customWidth="1"/>
    <col min="3" max="8" width="8.88671875" style="276"/>
    <col min="9" max="9" width="2.88671875" style="276" customWidth="1"/>
    <col min="10" max="16384" width="8.88671875" style="276"/>
  </cols>
  <sheetData>
    <row r="1" spans="1:16" ht="15.6" x14ac:dyDescent="0.3">
      <c r="A1" s="307" t="s">
        <v>292</v>
      </c>
      <c r="B1" s="307"/>
      <c r="C1" s="307"/>
    </row>
    <row r="2" spans="1:16" ht="15.6" x14ac:dyDescent="0.3">
      <c r="A2" s="306" t="s">
        <v>350</v>
      </c>
      <c r="B2" s="305"/>
      <c r="C2" s="305"/>
    </row>
    <row r="3" spans="1:16" x14ac:dyDescent="0.25">
      <c r="A3" s="304" t="s">
        <v>257</v>
      </c>
    </row>
    <row r="4" spans="1:16" x14ac:dyDescent="0.25">
      <c r="A4" s="303" t="s">
        <v>256</v>
      </c>
    </row>
    <row r="5" spans="1:16" x14ac:dyDescent="0.25">
      <c r="A5" s="360" t="str">
        <f ca="1">CELL("filename")</f>
        <v>C:\Users\Jennifer.King\AppData\Local\Microsoft\Windows\INetCache\Content.Outlook\WFIPE3TB\[Attachment 3 YWLA Six-Year School Budget.xlsx]6-Year (auto-populated)</v>
      </c>
    </row>
    <row r="6" spans="1:16" x14ac:dyDescent="0.25">
      <c r="A6" s="360"/>
    </row>
    <row r="7" spans="1:16" ht="13.8" x14ac:dyDescent="0.25">
      <c r="A7" s="360"/>
      <c r="B7" s="301" t="s">
        <v>255</v>
      </c>
    </row>
    <row r="8" spans="1:16" x14ac:dyDescent="0.25">
      <c r="A8" s="360"/>
    </row>
    <row r="9" spans="1:16" x14ac:dyDescent="0.25">
      <c r="A9" s="360"/>
    </row>
    <row r="10" spans="1:16" x14ac:dyDescent="0.25">
      <c r="A10" s="360"/>
    </row>
    <row r="11" spans="1:16" x14ac:dyDescent="0.25">
      <c r="A11" s="286"/>
      <c r="B11" s="286"/>
      <c r="C11" s="359" t="s">
        <v>291</v>
      </c>
      <c r="D11" s="358"/>
      <c r="E11" s="358"/>
      <c r="F11" s="358"/>
      <c r="G11" s="358"/>
      <c r="H11" s="357"/>
      <c r="I11" s="286"/>
      <c r="J11" s="286"/>
      <c r="K11" s="286"/>
      <c r="L11" s="286"/>
      <c r="M11" s="286"/>
      <c r="N11" s="286"/>
      <c r="O11" s="286"/>
      <c r="P11" s="286"/>
    </row>
    <row r="12" spans="1:16" x14ac:dyDescent="0.25">
      <c r="A12" s="286"/>
      <c r="B12" s="356" t="s">
        <v>290</v>
      </c>
      <c r="C12" s="355">
        <v>2022</v>
      </c>
      <c r="D12" s="354">
        <f>+C13</f>
        <v>2023</v>
      </c>
      <c r="E12" s="354">
        <f>+D13</f>
        <v>2024</v>
      </c>
      <c r="F12" s="354">
        <f>+E13</f>
        <v>2025</v>
      </c>
      <c r="G12" s="354">
        <f>+F13</f>
        <v>2026</v>
      </c>
      <c r="H12" s="353">
        <f>+G13</f>
        <v>2027</v>
      </c>
      <c r="I12" s="286"/>
      <c r="J12" s="286"/>
      <c r="K12" s="286"/>
      <c r="L12" s="286"/>
      <c r="M12" s="286"/>
      <c r="N12" s="286"/>
      <c r="O12" s="286"/>
      <c r="P12" s="286"/>
    </row>
    <row r="13" spans="1:16" x14ac:dyDescent="0.25">
      <c r="A13" s="286"/>
      <c r="B13" s="286"/>
      <c r="C13" s="352">
        <f t="shared" ref="C13:H13" si="0">+C12+1</f>
        <v>2023</v>
      </c>
      <c r="D13" s="351">
        <f t="shared" si="0"/>
        <v>2024</v>
      </c>
      <c r="E13" s="351">
        <f t="shared" si="0"/>
        <v>2025</v>
      </c>
      <c r="F13" s="351">
        <f t="shared" si="0"/>
        <v>2026</v>
      </c>
      <c r="G13" s="351">
        <f t="shared" si="0"/>
        <v>2027</v>
      </c>
      <c r="H13" s="350">
        <f t="shared" si="0"/>
        <v>2028</v>
      </c>
      <c r="I13" s="286"/>
      <c r="J13" s="286"/>
      <c r="K13" s="286"/>
      <c r="L13" s="286"/>
      <c r="M13" s="286"/>
      <c r="N13" s="286"/>
      <c r="O13" s="286"/>
      <c r="P13" s="286"/>
    </row>
    <row r="14" spans="1:16" ht="13.8" x14ac:dyDescent="0.25">
      <c r="A14" s="286"/>
      <c r="B14" s="346" t="s">
        <v>289</v>
      </c>
      <c r="K14" s="286"/>
      <c r="L14" s="286"/>
      <c r="M14" s="286"/>
      <c r="N14" s="286"/>
      <c r="O14" s="286"/>
      <c r="P14" s="286"/>
    </row>
    <row r="15" spans="1:16" ht="13.8" x14ac:dyDescent="0.25">
      <c r="A15" s="286"/>
      <c r="B15" s="564" t="s">
        <v>276</v>
      </c>
      <c r="C15" s="565"/>
      <c r="D15" s="565"/>
      <c r="E15" s="565"/>
      <c r="F15" s="565"/>
      <c r="G15" s="565"/>
      <c r="H15" s="566"/>
      <c r="K15" s="286"/>
      <c r="L15" s="286"/>
      <c r="M15" s="286"/>
      <c r="N15" s="286"/>
      <c r="O15" s="286"/>
      <c r="P15" s="286"/>
    </row>
    <row r="16" spans="1:16" ht="13.8" x14ac:dyDescent="0.25">
      <c r="A16" s="286"/>
      <c r="B16" s="336" t="s">
        <v>294</v>
      </c>
      <c r="C16" s="335">
        <v>1</v>
      </c>
      <c r="D16" s="335">
        <v>1</v>
      </c>
      <c r="E16" s="335">
        <v>1</v>
      </c>
      <c r="F16" s="335">
        <v>1</v>
      </c>
      <c r="G16" s="335">
        <v>1</v>
      </c>
      <c r="H16" s="335">
        <v>1</v>
      </c>
      <c r="K16" s="286"/>
      <c r="L16" s="286"/>
      <c r="M16" s="286"/>
      <c r="N16" s="286"/>
      <c r="O16" s="286"/>
      <c r="P16" s="286"/>
    </row>
    <row r="17" spans="1:16" ht="13.8" x14ac:dyDescent="0.25">
      <c r="A17" s="286"/>
      <c r="B17" s="284" t="s">
        <v>295</v>
      </c>
      <c r="C17" s="335">
        <v>1</v>
      </c>
      <c r="D17" s="335">
        <v>1</v>
      </c>
      <c r="E17" s="335">
        <v>1</v>
      </c>
      <c r="F17" s="335">
        <v>1</v>
      </c>
      <c r="G17" s="335">
        <v>1</v>
      </c>
      <c r="H17" s="335">
        <v>1</v>
      </c>
      <c r="K17" s="286"/>
      <c r="L17" s="286"/>
      <c r="M17" s="286"/>
      <c r="N17" s="286"/>
      <c r="O17" s="286"/>
      <c r="P17" s="286"/>
    </row>
    <row r="18" spans="1:16" ht="13.8" x14ac:dyDescent="0.25">
      <c r="A18" s="286"/>
      <c r="B18" s="284" t="s">
        <v>296</v>
      </c>
      <c r="C18" s="335">
        <v>1</v>
      </c>
      <c r="D18" s="335">
        <v>1</v>
      </c>
      <c r="E18" s="335">
        <v>1</v>
      </c>
      <c r="F18" s="335">
        <v>1</v>
      </c>
      <c r="G18" s="335">
        <v>1</v>
      </c>
      <c r="H18" s="335">
        <v>1</v>
      </c>
      <c r="K18" s="286"/>
      <c r="L18" s="286"/>
      <c r="M18" s="286"/>
      <c r="N18" s="286"/>
      <c r="O18" s="286"/>
      <c r="P18" s="286"/>
    </row>
    <row r="19" spans="1:16" ht="13.8" x14ac:dyDescent="0.25">
      <c r="A19" s="286"/>
      <c r="B19" s="284" t="s">
        <v>297</v>
      </c>
      <c r="C19" s="335">
        <v>1</v>
      </c>
      <c r="D19" s="335">
        <v>1</v>
      </c>
      <c r="E19" s="335">
        <v>1</v>
      </c>
      <c r="F19" s="335">
        <v>1</v>
      </c>
      <c r="G19" s="335">
        <v>1</v>
      </c>
      <c r="H19" s="335">
        <v>1</v>
      </c>
      <c r="K19" s="286"/>
      <c r="L19" s="286"/>
      <c r="M19" s="286"/>
      <c r="N19" s="286"/>
      <c r="O19" s="286"/>
      <c r="P19" s="286"/>
    </row>
    <row r="20" spans="1:16" ht="13.8" x14ac:dyDescent="0.25">
      <c r="A20" s="286"/>
      <c r="B20" s="284" t="s">
        <v>298</v>
      </c>
      <c r="C20" s="335">
        <v>1</v>
      </c>
      <c r="D20" s="335">
        <v>1</v>
      </c>
      <c r="E20" s="335">
        <v>1</v>
      </c>
      <c r="F20" s="335">
        <v>1</v>
      </c>
      <c r="G20" s="335">
        <v>1</v>
      </c>
      <c r="H20" s="335">
        <v>1</v>
      </c>
      <c r="K20" s="286"/>
      <c r="L20" s="286"/>
      <c r="M20" s="286"/>
      <c r="N20" s="286"/>
      <c r="O20" s="286"/>
      <c r="P20" s="286"/>
    </row>
    <row r="21" spans="1:16" ht="13.8" x14ac:dyDescent="0.25">
      <c r="A21" s="286"/>
      <c r="B21" s="284" t="s">
        <v>299</v>
      </c>
      <c r="C21" s="335">
        <v>1</v>
      </c>
      <c r="D21" s="335">
        <v>1</v>
      </c>
      <c r="E21" s="335">
        <v>1</v>
      </c>
      <c r="F21" s="335">
        <v>1</v>
      </c>
      <c r="G21" s="335">
        <v>1</v>
      </c>
      <c r="H21" s="335">
        <v>1</v>
      </c>
      <c r="K21" s="286"/>
      <c r="L21" s="286"/>
      <c r="M21" s="286"/>
      <c r="N21" s="286"/>
      <c r="O21" s="286"/>
      <c r="P21" s="286"/>
    </row>
    <row r="22" spans="1:16" ht="27.6" x14ac:dyDescent="0.25">
      <c r="A22" s="286"/>
      <c r="B22" s="284" t="s">
        <v>300</v>
      </c>
      <c r="C22" s="320">
        <v>2</v>
      </c>
      <c r="D22" s="320">
        <v>2</v>
      </c>
      <c r="E22" s="320">
        <v>2</v>
      </c>
      <c r="F22" s="320">
        <v>2</v>
      </c>
      <c r="G22" s="320">
        <v>2</v>
      </c>
      <c r="H22" s="320">
        <v>2</v>
      </c>
      <c r="K22" s="286"/>
      <c r="L22" s="286"/>
      <c r="M22" s="286"/>
      <c r="N22" s="286"/>
      <c r="O22" s="286"/>
      <c r="P22" s="286"/>
    </row>
    <row r="23" spans="1:16" ht="27.6" x14ac:dyDescent="0.25">
      <c r="A23" s="286"/>
      <c r="B23" s="282" t="s">
        <v>301</v>
      </c>
      <c r="C23" s="335">
        <v>1</v>
      </c>
      <c r="D23" s="335">
        <v>1</v>
      </c>
      <c r="E23" s="335">
        <v>1</v>
      </c>
      <c r="F23" s="335">
        <v>1</v>
      </c>
      <c r="G23" s="335">
        <v>1</v>
      </c>
      <c r="H23" s="335">
        <v>1</v>
      </c>
      <c r="K23" s="286"/>
      <c r="L23" s="286"/>
      <c r="M23" s="286"/>
      <c r="N23" s="286"/>
      <c r="O23" s="286"/>
      <c r="P23" s="286"/>
    </row>
    <row r="24" spans="1:16" ht="13.8" x14ac:dyDescent="0.25">
      <c r="A24" s="286"/>
      <c r="B24" s="340" t="s">
        <v>275</v>
      </c>
      <c r="C24" s="349">
        <f t="shared" ref="C24:H24" si="1">SUM(C16:C23)</f>
        <v>9</v>
      </c>
      <c r="D24" s="349">
        <f t="shared" si="1"/>
        <v>9</v>
      </c>
      <c r="E24" s="349">
        <f t="shared" si="1"/>
        <v>9</v>
      </c>
      <c r="F24" s="349">
        <f t="shared" si="1"/>
        <v>9</v>
      </c>
      <c r="G24" s="349">
        <f t="shared" si="1"/>
        <v>9</v>
      </c>
      <c r="H24" s="349">
        <f t="shared" si="1"/>
        <v>9</v>
      </c>
      <c r="K24" s="286"/>
      <c r="L24" s="286"/>
      <c r="M24" s="286"/>
      <c r="N24" s="286"/>
      <c r="O24" s="286"/>
      <c r="P24" s="286"/>
    </row>
    <row r="25" spans="1:16" ht="13.8" x14ac:dyDescent="0.25">
      <c r="A25" s="286"/>
      <c r="B25" s="326"/>
      <c r="C25" s="348"/>
      <c r="D25" s="348"/>
      <c r="E25" s="348"/>
      <c r="F25" s="348"/>
      <c r="G25" s="348"/>
      <c r="H25" s="348"/>
      <c r="K25" s="286"/>
      <c r="L25" s="286"/>
      <c r="M25" s="286"/>
      <c r="N25" s="286"/>
      <c r="O25" s="286"/>
      <c r="P25" s="286"/>
    </row>
    <row r="26" spans="1:16" ht="13.8" x14ac:dyDescent="0.25">
      <c r="A26" s="286"/>
      <c r="B26" s="564" t="s">
        <v>288</v>
      </c>
      <c r="C26" s="565"/>
      <c r="D26" s="565"/>
      <c r="E26" s="565"/>
      <c r="F26" s="565"/>
      <c r="G26" s="565"/>
      <c r="H26" s="566"/>
      <c r="K26" s="286"/>
      <c r="L26" s="286"/>
      <c r="M26" s="286"/>
      <c r="N26" s="286"/>
      <c r="O26" s="286"/>
      <c r="P26" s="286"/>
    </row>
    <row r="27" spans="1:16" ht="13.8" x14ac:dyDescent="0.25">
      <c r="A27" s="286"/>
      <c r="B27" s="284" t="s">
        <v>269</v>
      </c>
      <c r="C27" s="320">
        <f>'6-Year (auto-populated)'!D41</f>
        <v>1</v>
      </c>
      <c r="D27" s="446">
        <f>'6-Year (auto-populated)'!E41</f>
        <v>1</v>
      </c>
      <c r="E27" s="446">
        <f>'6-Year (auto-populated)'!F41</f>
        <v>1</v>
      </c>
      <c r="F27" s="446">
        <f>'6-Year (auto-populated)'!G41</f>
        <v>1</v>
      </c>
      <c r="G27" s="446">
        <f>'6-Year (auto-populated)'!H41</f>
        <v>1</v>
      </c>
      <c r="H27" s="446">
        <f>'6-Year (auto-populated)'!I41</f>
        <v>1</v>
      </c>
      <c r="K27" s="286"/>
      <c r="L27" s="286"/>
      <c r="M27" s="286"/>
      <c r="N27" s="286"/>
      <c r="O27" s="286"/>
      <c r="P27" s="286"/>
    </row>
    <row r="28" spans="1:16" ht="13.8" x14ac:dyDescent="0.25">
      <c r="A28" s="286"/>
      <c r="B28" s="284" t="s">
        <v>268</v>
      </c>
      <c r="C28" s="320">
        <f>'6-Year (auto-populated)'!D42</f>
        <v>0</v>
      </c>
      <c r="D28" s="446">
        <f>'6-Year (auto-populated)'!E42</f>
        <v>0</v>
      </c>
      <c r="E28" s="446">
        <f>'6-Year (auto-populated)'!F42</f>
        <v>1</v>
      </c>
      <c r="F28" s="446">
        <f>'6-Year (auto-populated)'!G42</f>
        <v>1</v>
      </c>
      <c r="G28" s="446">
        <f>'6-Year (auto-populated)'!H42</f>
        <v>1</v>
      </c>
      <c r="H28" s="446">
        <f>'6-Year (auto-populated)'!I42</f>
        <v>1</v>
      </c>
      <c r="K28" s="286"/>
      <c r="L28" s="286"/>
      <c r="M28" s="286"/>
      <c r="N28" s="286"/>
      <c r="O28" s="286"/>
      <c r="P28" s="286"/>
    </row>
    <row r="29" spans="1:16" ht="13.2" customHeight="1" x14ac:dyDescent="0.25">
      <c r="A29" s="286"/>
      <c r="B29" s="567" t="s">
        <v>429</v>
      </c>
      <c r="C29" s="563">
        <f>'6-Year (auto-populated)'!D43+'6-Year (auto-populated)'!D44</f>
        <v>1</v>
      </c>
      <c r="D29" s="563">
        <f>'6-Year (auto-populated)'!E43+'6-Year (auto-populated)'!E44</f>
        <v>1</v>
      </c>
      <c r="E29" s="563">
        <f>'6-Year (auto-populated)'!F43+'6-Year (auto-populated)'!F44</f>
        <v>2</v>
      </c>
      <c r="F29" s="563">
        <f>'6-Year (auto-populated)'!G43+'6-Year (auto-populated)'!G44</f>
        <v>2</v>
      </c>
      <c r="G29" s="563">
        <f>'6-Year (auto-populated)'!H43+'6-Year (auto-populated)'!H44</f>
        <v>2</v>
      </c>
      <c r="H29" s="563">
        <f>'6-Year (auto-populated)'!I43+'6-Year (auto-populated)'!I44</f>
        <v>2</v>
      </c>
      <c r="K29" s="286"/>
      <c r="L29" s="286"/>
      <c r="M29" s="286"/>
      <c r="N29" s="286"/>
      <c r="O29" s="286"/>
      <c r="P29" s="286"/>
    </row>
    <row r="30" spans="1:16" ht="13.2" customHeight="1" x14ac:dyDescent="0.25">
      <c r="A30" s="286"/>
      <c r="B30" s="568"/>
      <c r="C30" s="563"/>
      <c r="D30" s="563"/>
      <c r="E30" s="563"/>
      <c r="F30" s="563"/>
      <c r="G30" s="563"/>
      <c r="H30" s="563"/>
      <c r="K30" s="286"/>
      <c r="L30" s="286"/>
      <c r="M30" s="286"/>
      <c r="N30" s="286"/>
      <c r="O30" s="286"/>
      <c r="P30" s="286"/>
    </row>
    <row r="31" spans="1:16" ht="13.2" customHeight="1" x14ac:dyDescent="0.25">
      <c r="A31" s="286"/>
      <c r="B31" s="567" t="s">
        <v>293</v>
      </c>
      <c r="C31" s="563">
        <f>'6-Year (auto-populated)'!D45</f>
        <v>0</v>
      </c>
      <c r="D31" s="563">
        <f>'6-Year (auto-populated)'!E45</f>
        <v>1</v>
      </c>
      <c r="E31" s="563">
        <f>'6-Year (auto-populated)'!F45</f>
        <v>0</v>
      </c>
      <c r="F31" s="563">
        <f>'6-Year (auto-populated)'!G45</f>
        <v>1</v>
      </c>
      <c r="G31" s="563">
        <f>'6-Year (auto-populated)'!H45</f>
        <v>1</v>
      </c>
      <c r="H31" s="563">
        <f>'6-Year (auto-populated)'!I45</f>
        <v>1</v>
      </c>
      <c r="K31" s="286"/>
      <c r="L31" s="286"/>
      <c r="M31" s="286"/>
      <c r="N31" s="286"/>
      <c r="O31" s="286"/>
      <c r="P31" s="286"/>
    </row>
    <row r="32" spans="1:16" ht="13.2" customHeight="1" x14ac:dyDescent="0.25">
      <c r="A32" s="286"/>
      <c r="B32" s="568"/>
      <c r="C32" s="563"/>
      <c r="D32" s="563"/>
      <c r="E32" s="563"/>
      <c r="F32" s="563"/>
      <c r="G32" s="563"/>
      <c r="H32" s="563"/>
      <c r="K32" s="286"/>
      <c r="L32" s="286"/>
      <c r="M32" s="286"/>
      <c r="N32" s="286"/>
      <c r="O32" s="286"/>
      <c r="P32" s="286"/>
    </row>
    <row r="33" spans="1:16" ht="13.2" customHeight="1" x14ac:dyDescent="0.25">
      <c r="A33" s="286"/>
      <c r="B33" s="567" t="s">
        <v>267</v>
      </c>
      <c r="C33" s="563">
        <f>'6-Year (auto-populated)'!D53</f>
        <v>0</v>
      </c>
      <c r="D33" s="563">
        <f>'6-Year (auto-populated)'!E53</f>
        <v>0</v>
      </c>
      <c r="E33" s="563">
        <f>'6-Year (auto-populated)'!F53</f>
        <v>0</v>
      </c>
      <c r="F33" s="563">
        <f>'6-Year (auto-populated)'!G53</f>
        <v>0</v>
      </c>
      <c r="G33" s="563">
        <f>'6-Year (auto-populated)'!H53</f>
        <v>0</v>
      </c>
      <c r="H33" s="563">
        <f>'6-Year (auto-populated)'!I53</f>
        <v>0</v>
      </c>
      <c r="K33" s="286"/>
      <c r="L33" s="286"/>
      <c r="M33" s="286"/>
      <c r="N33" s="286"/>
      <c r="O33" s="286"/>
      <c r="P33" s="286"/>
    </row>
    <row r="34" spans="1:16" ht="13.2" customHeight="1" x14ac:dyDescent="0.25">
      <c r="A34" s="286"/>
      <c r="B34" s="568"/>
      <c r="C34" s="563"/>
      <c r="D34" s="563"/>
      <c r="E34" s="563"/>
      <c r="F34" s="563"/>
      <c r="G34" s="563"/>
      <c r="H34" s="563"/>
      <c r="K34" s="286"/>
      <c r="L34" s="286"/>
      <c r="M34" s="286"/>
      <c r="N34" s="286"/>
      <c r="O34" s="286"/>
      <c r="P34" s="286"/>
    </row>
    <row r="35" spans="1:16" ht="13.8" x14ac:dyDescent="0.25">
      <c r="A35" s="286"/>
      <c r="B35" s="284" t="s">
        <v>266</v>
      </c>
      <c r="C35" s="320">
        <f>'6-Year (auto-populated)'!D29</f>
        <v>4</v>
      </c>
      <c r="D35" s="446">
        <f>'6-Year (auto-populated)'!E29</f>
        <v>10</v>
      </c>
      <c r="E35" s="446">
        <f>'6-Year (auto-populated)'!F29</f>
        <v>15</v>
      </c>
      <c r="F35" s="446">
        <f>'6-Year (auto-populated)'!G29</f>
        <v>18</v>
      </c>
      <c r="G35" s="446">
        <f>'6-Year (auto-populated)'!H29</f>
        <v>19</v>
      </c>
      <c r="H35" s="446">
        <f>'6-Year (auto-populated)'!I29</f>
        <v>20</v>
      </c>
      <c r="K35" s="286"/>
      <c r="L35" s="286"/>
      <c r="M35" s="286"/>
      <c r="N35" s="286"/>
      <c r="O35" s="286"/>
      <c r="P35" s="286"/>
    </row>
    <row r="36" spans="1:16" ht="13.8" x14ac:dyDescent="0.25">
      <c r="A36" s="286"/>
      <c r="B36" s="284" t="s">
        <v>265</v>
      </c>
      <c r="C36" s="320">
        <f>SUM('6-Year (auto-populated)'!D31:D36)</f>
        <v>0</v>
      </c>
      <c r="D36" s="446">
        <f>SUM('6-Year (auto-populated)'!E31:E36)</f>
        <v>1</v>
      </c>
      <c r="E36" s="446">
        <f>SUM('6-Year (auto-populated)'!F31:F36)</f>
        <v>2.5</v>
      </c>
      <c r="F36" s="446">
        <f>SUM('6-Year (auto-populated)'!G31:G36)</f>
        <v>3.5</v>
      </c>
      <c r="G36" s="446">
        <f>SUM('6-Year (auto-populated)'!H31:H36)</f>
        <v>4.5</v>
      </c>
      <c r="H36" s="446">
        <f>SUM('6-Year (auto-populated)'!I31:I36)</f>
        <v>4.5</v>
      </c>
      <c r="K36" s="286"/>
      <c r="L36" s="286"/>
      <c r="M36" s="286"/>
      <c r="N36" s="286"/>
      <c r="O36" s="286"/>
      <c r="P36" s="286"/>
    </row>
    <row r="37" spans="1:16" ht="13.8" x14ac:dyDescent="0.25">
      <c r="A37" s="286"/>
      <c r="B37" s="284" t="s">
        <v>264</v>
      </c>
      <c r="C37" s="320">
        <f>'6-Year (auto-populated)'!D30</f>
        <v>1</v>
      </c>
      <c r="D37" s="446">
        <f>'6-Year (auto-populated)'!E30</f>
        <v>1.5</v>
      </c>
      <c r="E37" s="446">
        <f>'6-Year (auto-populated)'!F30</f>
        <v>2.5</v>
      </c>
      <c r="F37" s="446">
        <f>'6-Year (auto-populated)'!G30</f>
        <v>3</v>
      </c>
      <c r="G37" s="446">
        <f>'6-Year (auto-populated)'!H30</f>
        <v>3</v>
      </c>
      <c r="H37" s="446">
        <f>'6-Year (auto-populated)'!I30</f>
        <v>3.5</v>
      </c>
      <c r="K37" s="286"/>
      <c r="L37" s="286"/>
      <c r="M37" s="286"/>
      <c r="N37" s="286"/>
      <c r="O37" s="286"/>
      <c r="P37" s="286"/>
    </row>
    <row r="38" spans="1:16" ht="13.8" x14ac:dyDescent="0.25">
      <c r="A38" s="286"/>
      <c r="B38" s="284" t="s">
        <v>417</v>
      </c>
      <c r="C38" s="320">
        <f>'6-Year (auto-populated)'!D58</f>
        <v>1</v>
      </c>
      <c r="D38" s="446">
        <f>'6-Year (auto-populated)'!E58</f>
        <v>1</v>
      </c>
      <c r="E38" s="446">
        <f>'6-Year (auto-populated)'!F58</f>
        <v>1</v>
      </c>
      <c r="F38" s="446">
        <f>'6-Year (auto-populated)'!G58</f>
        <v>1</v>
      </c>
      <c r="G38" s="446">
        <f>'6-Year (auto-populated)'!H58</f>
        <v>1</v>
      </c>
      <c r="H38" s="446">
        <f>'6-Year (auto-populated)'!I58</f>
        <v>1</v>
      </c>
      <c r="K38" s="286"/>
      <c r="L38" s="286"/>
      <c r="M38" s="286"/>
      <c r="N38" s="286"/>
      <c r="O38" s="286"/>
      <c r="P38" s="286"/>
    </row>
    <row r="39" spans="1:16" ht="13.8" x14ac:dyDescent="0.25">
      <c r="A39" s="286"/>
      <c r="B39" s="284" t="s">
        <v>40</v>
      </c>
      <c r="C39" s="320">
        <f>'6-Year (auto-populated)'!D56</f>
        <v>0</v>
      </c>
      <c r="D39" s="446">
        <f>'6-Year (auto-populated)'!E56</f>
        <v>0</v>
      </c>
      <c r="E39" s="446">
        <f>'6-Year (auto-populated)'!F56</f>
        <v>0</v>
      </c>
      <c r="F39" s="446">
        <f>'6-Year (auto-populated)'!G56</f>
        <v>0</v>
      </c>
      <c r="G39" s="446">
        <f>'6-Year (auto-populated)'!H56</f>
        <v>0</v>
      </c>
      <c r="H39" s="446">
        <f>'6-Year (auto-populated)'!I56</f>
        <v>0</v>
      </c>
      <c r="K39" s="286"/>
      <c r="L39" s="286"/>
      <c r="M39" s="286"/>
      <c r="N39" s="286"/>
      <c r="O39" s="286"/>
      <c r="P39" s="286"/>
    </row>
    <row r="40" spans="1:16" ht="13.8" x14ac:dyDescent="0.25">
      <c r="A40" s="286"/>
      <c r="B40" s="284" t="s">
        <v>32</v>
      </c>
      <c r="C40" s="320">
        <f>'6-Year (auto-populated)'!D46</f>
        <v>1</v>
      </c>
      <c r="D40" s="446">
        <f>'6-Year (auto-populated)'!E46</f>
        <v>1</v>
      </c>
      <c r="E40" s="446">
        <f>'6-Year (auto-populated)'!F46</f>
        <v>1</v>
      </c>
      <c r="F40" s="446">
        <f>'6-Year (auto-populated)'!G46</f>
        <v>1</v>
      </c>
      <c r="G40" s="446">
        <f>'6-Year (auto-populated)'!H46</f>
        <v>1</v>
      </c>
      <c r="H40" s="446">
        <f>'6-Year (auto-populated)'!I46</f>
        <v>1</v>
      </c>
      <c r="K40" s="286"/>
      <c r="L40" s="286"/>
      <c r="M40" s="286"/>
      <c r="N40" s="286"/>
      <c r="O40" s="286"/>
      <c r="P40" s="286"/>
    </row>
    <row r="41" spans="1:16" ht="13.8" x14ac:dyDescent="0.25">
      <c r="A41" s="286"/>
      <c r="B41" s="284" t="s">
        <v>33</v>
      </c>
      <c r="C41" s="320">
        <f>'6-Year (auto-populated)'!D47</f>
        <v>0</v>
      </c>
      <c r="D41" s="446">
        <f>'6-Year (auto-populated)'!E47</f>
        <v>0</v>
      </c>
      <c r="E41" s="446">
        <f>'6-Year (auto-populated)'!F47</f>
        <v>0</v>
      </c>
      <c r="F41" s="446">
        <f>'6-Year (auto-populated)'!G47</f>
        <v>0.5</v>
      </c>
      <c r="G41" s="446">
        <f>'6-Year (auto-populated)'!H47</f>
        <v>0.5</v>
      </c>
      <c r="H41" s="446">
        <f>'6-Year (auto-populated)'!I47</f>
        <v>1</v>
      </c>
      <c r="K41" s="286"/>
      <c r="L41" s="286"/>
      <c r="M41" s="286"/>
      <c r="N41" s="286"/>
      <c r="O41" s="286"/>
      <c r="P41" s="286"/>
    </row>
    <row r="42" spans="1:16" ht="13.8" x14ac:dyDescent="0.25">
      <c r="A42" s="286"/>
      <c r="B42" s="284" t="s">
        <v>263</v>
      </c>
      <c r="C42" s="320">
        <f>'6-Year (auto-populated)'!D48+'6-Year (auto-populated)'!D49</f>
        <v>0</v>
      </c>
      <c r="D42" s="446">
        <f>'6-Year (auto-populated)'!E48+'6-Year (auto-populated)'!E49</f>
        <v>1</v>
      </c>
      <c r="E42" s="446">
        <f>'6-Year (auto-populated)'!F48+'6-Year (auto-populated)'!F49</f>
        <v>1</v>
      </c>
      <c r="F42" s="446">
        <f>'6-Year (auto-populated)'!G48+'6-Year (auto-populated)'!G49</f>
        <v>2</v>
      </c>
      <c r="G42" s="446">
        <f>'6-Year (auto-populated)'!H48+'6-Year (auto-populated)'!H49</f>
        <v>2</v>
      </c>
      <c r="H42" s="446">
        <f>'6-Year (auto-populated)'!I48+'6-Year (auto-populated)'!I49</f>
        <v>2</v>
      </c>
      <c r="K42" s="286"/>
      <c r="L42" s="286"/>
      <c r="M42" s="286"/>
      <c r="N42" s="286"/>
      <c r="O42" s="286"/>
      <c r="P42" s="286"/>
    </row>
    <row r="43" spans="1:16" ht="13.8" x14ac:dyDescent="0.25">
      <c r="A43" s="286"/>
      <c r="B43" s="284" t="s">
        <v>426</v>
      </c>
      <c r="C43" s="320">
        <f>'6-Year (auto-populated)'!D50</f>
        <v>2</v>
      </c>
      <c r="D43" s="446">
        <f>'6-Year (auto-populated)'!E50</f>
        <v>3</v>
      </c>
      <c r="E43" s="446">
        <f>'6-Year (auto-populated)'!F50</f>
        <v>3</v>
      </c>
      <c r="F43" s="446">
        <f>'6-Year (auto-populated)'!G50</f>
        <v>4</v>
      </c>
      <c r="G43" s="446">
        <f>'6-Year (auto-populated)'!H50</f>
        <v>4</v>
      </c>
      <c r="H43" s="446">
        <f>'6-Year (auto-populated)'!I50</f>
        <v>4</v>
      </c>
      <c r="K43" s="286"/>
      <c r="L43" s="286"/>
      <c r="M43" s="286"/>
      <c r="N43" s="286"/>
      <c r="O43" s="286"/>
      <c r="P43" s="286"/>
    </row>
    <row r="44" spans="1:16" ht="13.8" x14ac:dyDescent="0.25">
      <c r="A44" s="286"/>
      <c r="B44" s="282" t="s">
        <v>261</v>
      </c>
      <c r="C44" s="320">
        <f>'6-Year (auto-populated)'!D51+'6-Year (auto-populated)'!D52</f>
        <v>1</v>
      </c>
      <c r="D44" s="446">
        <f>'6-Year (auto-populated)'!E51+'6-Year (auto-populated)'!E52</f>
        <v>2</v>
      </c>
      <c r="E44" s="446">
        <f>'6-Year (auto-populated)'!F51+'6-Year (auto-populated)'!F52</f>
        <v>2</v>
      </c>
      <c r="F44" s="446">
        <f>'6-Year (auto-populated)'!G51+'6-Year (auto-populated)'!G52</f>
        <v>2</v>
      </c>
      <c r="G44" s="446">
        <f>'6-Year (auto-populated)'!H51+'6-Year (auto-populated)'!H52</f>
        <v>2</v>
      </c>
      <c r="H44" s="446">
        <f>'6-Year (auto-populated)'!I51+'6-Year (auto-populated)'!I52</f>
        <v>2</v>
      </c>
      <c r="K44" s="286"/>
      <c r="L44" s="286"/>
      <c r="M44" s="286"/>
      <c r="N44" s="286"/>
      <c r="O44" s="286"/>
      <c r="P44" s="286"/>
    </row>
    <row r="45" spans="1:16" ht="13.8" x14ac:dyDescent="0.25">
      <c r="A45" s="286"/>
      <c r="B45" s="313" t="s">
        <v>287</v>
      </c>
      <c r="C45" s="312">
        <f t="shared" ref="C45:H45" si="2">SUM(C27:C44)</f>
        <v>12</v>
      </c>
      <c r="D45" s="312">
        <f t="shared" si="2"/>
        <v>23.5</v>
      </c>
      <c r="E45" s="312">
        <f t="shared" si="2"/>
        <v>32</v>
      </c>
      <c r="F45" s="312">
        <f t="shared" si="2"/>
        <v>40</v>
      </c>
      <c r="G45" s="312">
        <f t="shared" si="2"/>
        <v>42</v>
      </c>
      <c r="H45" s="312">
        <f t="shared" si="2"/>
        <v>44</v>
      </c>
      <c r="K45" s="286" t="b">
        <f>C45='6-Year (auto-populated)'!D64</f>
        <v>1</v>
      </c>
      <c r="L45" s="286" t="b">
        <f>D45='6-Year (auto-populated)'!E64</f>
        <v>1</v>
      </c>
      <c r="M45" s="286" t="b">
        <f>E45='6-Year (auto-populated)'!F64</f>
        <v>1</v>
      </c>
      <c r="N45" s="286" t="b">
        <f>F45='6-Year (auto-populated)'!G64</f>
        <v>1</v>
      </c>
      <c r="O45" s="286" t="b">
        <f>G45='6-Year (auto-populated)'!H64</f>
        <v>1</v>
      </c>
      <c r="P45" s="286" t="b">
        <f>H45='6-Year (auto-populated)'!I64</f>
        <v>1</v>
      </c>
    </row>
    <row r="46" spans="1:16" ht="13.8" x14ac:dyDescent="0.25">
      <c r="A46" s="286"/>
      <c r="B46" s="347"/>
      <c r="K46" s="286"/>
      <c r="L46" s="286"/>
      <c r="M46" s="286"/>
      <c r="N46" s="286"/>
      <c r="O46" s="286"/>
      <c r="P46" s="286"/>
    </row>
    <row r="47" spans="1:16" ht="14.4" thickBot="1" x14ac:dyDescent="0.3">
      <c r="A47" s="286"/>
      <c r="B47" s="346" t="s">
        <v>286</v>
      </c>
      <c r="K47" s="286"/>
      <c r="L47" s="286"/>
      <c r="M47" s="286"/>
      <c r="N47" s="286"/>
      <c r="O47" s="286"/>
      <c r="P47" s="286"/>
    </row>
    <row r="48" spans="1:16" ht="16.5" customHeight="1" thickTop="1" thickBot="1" x14ac:dyDescent="0.3">
      <c r="A48" s="286"/>
      <c r="B48" s="345" t="s">
        <v>164</v>
      </c>
      <c r="C48" s="344" t="s">
        <v>285</v>
      </c>
      <c r="D48" s="344" t="s">
        <v>284</v>
      </c>
      <c r="E48" s="344" t="s">
        <v>283</v>
      </c>
      <c r="F48" s="344" t="s">
        <v>282</v>
      </c>
      <c r="G48" s="343" t="s">
        <v>433</v>
      </c>
      <c r="H48" s="343" t="s">
        <v>434</v>
      </c>
      <c r="K48" s="286"/>
      <c r="L48" s="286"/>
      <c r="M48" s="286"/>
      <c r="N48" s="286"/>
      <c r="O48" s="286"/>
      <c r="P48" s="286"/>
    </row>
    <row r="49" spans="1:16" ht="14.4" thickTop="1" x14ac:dyDescent="0.25">
      <c r="A49" s="286"/>
      <c r="B49" s="284" t="s">
        <v>281</v>
      </c>
      <c r="C49" s="320">
        <v>0</v>
      </c>
      <c r="D49" s="320">
        <v>0</v>
      </c>
      <c r="E49" s="320">
        <v>0</v>
      </c>
      <c r="F49" s="320">
        <v>0</v>
      </c>
      <c r="G49" s="320">
        <v>0</v>
      </c>
      <c r="H49" s="320">
        <v>0</v>
      </c>
      <c r="M49" s="286"/>
      <c r="N49" s="286"/>
      <c r="O49" s="286"/>
      <c r="P49" s="286"/>
    </row>
    <row r="50" spans="1:16" ht="13.8" x14ac:dyDescent="0.25">
      <c r="A50" s="286"/>
      <c r="B50" s="284" t="s">
        <v>280</v>
      </c>
      <c r="C50" s="320">
        <v>1</v>
      </c>
      <c r="D50" s="320">
        <v>1</v>
      </c>
      <c r="E50" s="320">
        <v>1</v>
      </c>
      <c r="F50" s="320">
        <v>1</v>
      </c>
      <c r="G50" s="320">
        <v>1</v>
      </c>
      <c r="H50" s="320">
        <v>1</v>
      </c>
      <c r="M50" s="286"/>
      <c r="N50" s="286"/>
      <c r="O50" s="286"/>
      <c r="P50" s="286"/>
    </row>
    <row r="51" spans="1:16" ht="13.8" x14ac:dyDescent="0.25">
      <c r="A51" s="286"/>
      <c r="B51" s="282" t="s">
        <v>279</v>
      </c>
      <c r="C51" s="319">
        <v>1</v>
      </c>
      <c r="D51" s="319">
        <v>1</v>
      </c>
      <c r="E51" s="319">
        <v>1</v>
      </c>
      <c r="F51" s="319">
        <v>1</v>
      </c>
      <c r="G51" s="319">
        <v>1</v>
      </c>
      <c r="H51" s="319">
        <v>1</v>
      </c>
      <c r="M51" s="286"/>
      <c r="N51" s="286"/>
      <c r="O51" s="286"/>
      <c r="P51" s="286"/>
    </row>
    <row r="52" spans="1:16" ht="13.8" x14ac:dyDescent="0.25">
      <c r="A52" s="286"/>
      <c r="B52" s="342" t="s">
        <v>278</v>
      </c>
      <c r="C52" s="341">
        <f t="shared" ref="C52:H52" si="3">SUM(C49:C51)</f>
        <v>2</v>
      </c>
      <c r="D52" s="341">
        <f t="shared" si="3"/>
        <v>2</v>
      </c>
      <c r="E52" s="341">
        <f t="shared" si="3"/>
        <v>2</v>
      </c>
      <c r="F52" s="341">
        <f t="shared" si="3"/>
        <v>2</v>
      </c>
      <c r="G52" s="341">
        <f t="shared" si="3"/>
        <v>2</v>
      </c>
      <c r="H52" s="341">
        <f t="shared" si="3"/>
        <v>2</v>
      </c>
      <c r="M52" s="286"/>
      <c r="N52" s="286"/>
      <c r="O52" s="286"/>
      <c r="P52" s="286"/>
    </row>
    <row r="53" spans="1:16" ht="13.8" x14ac:dyDescent="0.25">
      <c r="A53" s="286"/>
      <c r="B53" s="340" t="s">
        <v>277</v>
      </c>
      <c r="C53" s="312">
        <f>'6-Year (auto-populated)'!D5</f>
        <v>110</v>
      </c>
      <c r="D53" s="312">
        <f>'6-Year (auto-populated)'!E5</f>
        <v>300</v>
      </c>
      <c r="E53" s="312">
        <f>'6-Year (auto-populated)'!F5</f>
        <v>450</v>
      </c>
      <c r="F53" s="312">
        <f>'6-Year (auto-populated)'!G5</f>
        <v>540</v>
      </c>
      <c r="G53" s="312">
        <f>'6-Year (auto-populated)'!H5</f>
        <v>570</v>
      </c>
      <c r="H53" s="312">
        <f>'6-Year (auto-populated)'!I5</f>
        <v>600</v>
      </c>
      <c r="M53" s="286"/>
      <c r="N53" s="286"/>
      <c r="O53" s="286"/>
      <c r="P53" s="286"/>
    </row>
    <row r="54" spans="1:16" ht="13.8" x14ac:dyDescent="0.25">
      <c r="A54" s="286"/>
      <c r="B54" s="339"/>
      <c r="C54" s="339"/>
      <c r="D54" s="339"/>
      <c r="E54" s="339"/>
      <c r="F54" s="339"/>
      <c r="G54" s="339"/>
      <c r="H54" s="339"/>
      <c r="M54" s="286"/>
      <c r="N54" s="286"/>
      <c r="O54" s="286"/>
      <c r="P54" s="286"/>
    </row>
    <row r="55" spans="1:16" ht="13.8" x14ac:dyDescent="0.25">
      <c r="A55" s="286"/>
      <c r="B55" s="338" t="s">
        <v>276</v>
      </c>
      <c r="C55" s="334"/>
      <c r="D55" s="334"/>
      <c r="E55" s="334"/>
      <c r="F55" s="334"/>
      <c r="G55" s="334"/>
      <c r="H55" s="337"/>
      <c r="K55" s="286"/>
      <c r="L55" s="286"/>
      <c r="M55" s="286"/>
      <c r="N55" s="286"/>
      <c r="O55" s="286"/>
      <c r="P55" s="286"/>
    </row>
    <row r="56" spans="1:16" ht="13.8" x14ac:dyDescent="0.25">
      <c r="A56" s="286"/>
      <c r="B56" s="336" t="s">
        <v>294</v>
      </c>
      <c r="C56" s="335">
        <v>1</v>
      </c>
      <c r="D56" s="335">
        <v>1</v>
      </c>
      <c r="E56" s="335">
        <v>1</v>
      </c>
      <c r="F56" s="335">
        <v>1</v>
      </c>
      <c r="G56" s="335">
        <v>1</v>
      </c>
      <c r="H56" s="335">
        <v>1</v>
      </c>
      <c r="K56" s="286"/>
      <c r="L56" s="286"/>
      <c r="M56" s="286"/>
      <c r="N56" s="286"/>
      <c r="O56" s="286"/>
      <c r="P56" s="286"/>
    </row>
    <row r="57" spans="1:16" ht="13.8" x14ac:dyDescent="0.25">
      <c r="A57" s="286"/>
      <c r="B57" s="284" t="s">
        <v>295</v>
      </c>
      <c r="C57" s="335">
        <v>1</v>
      </c>
      <c r="D57" s="335">
        <v>1</v>
      </c>
      <c r="E57" s="335">
        <v>1</v>
      </c>
      <c r="F57" s="335">
        <v>1</v>
      </c>
      <c r="G57" s="335">
        <v>1</v>
      </c>
      <c r="H57" s="335">
        <v>1</v>
      </c>
      <c r="K57" s="286"/>
      <c r="L57" s="286"/>
      <c r="M57" s="286"/>
      <c r="N57" s="286"/>
      <c r="O57" s="286"/>
      <c r="P57" s="286"/>
    </row>
    <row r="58" spans="1:16" ht="13.8" x14ac:dyDescent="0.25">
      <c r="A58" s="286"/>
      <c r="B58" s="284" t="s">
        <v>296</v>
      </c>
      <c r="C58" s="335">
        <v>1</v>
      </c>
      <c r="D58" s="335">
        <v>1</v>
      </c>
      <c r="E58" s="335">
        <v>1</v>
      </c>
      <c r="F58" s="335">
        <v>1</v>
      </c>
      <c r="G58" s="335">
        <v>1</v>
      </c>
      <c r="H58" s="335">
        <v>1</v>
      </c>
      <c r="K58" s="286"/>
      <c r="L58" s="286"/>
      <c r="M58" s="286"/>
      <c r="N58" s="286"/>
      <c r="O58" s="286"/>
      <c r="P58" s="286"/>
    </row>
    <row r="59" spans="1:16" ht="13.8" x14ac:dyDescent="0.25">
      <c r="A59" s="286"/>
      <c r="B59" s="284" t="s">
        <v>297</v>
      </c>
      <c r="C59" s="335">
        <v>1</v>
      </c>
      <c r="D59" s="335">
        <v>1</v>
      </c>
      <c r="E59" s="335">
        <v>1</v>
      </c>
      <c r="F59" s="335">
        <v>1</v>
      </c>
      <c r="G59" s="335">
        <v>1</v>
      </c>
      <c r="H59" s="335">
        <v>1</v>
      </c>
      <c r="K59" s="286"/>
      <c r="L59" s="286"/>
      <c r="M59" s="286"/>
      <c r="N59" s="286"/>
      <c r="O59" s="286"/>
      <c r="P59" s="286"/>
    </row>
    <row r="60" spans="1:16" ht="13.8" x14ac:dyDescent="0.25">
      <c r="A60" s="286"/>
      <c r="B60" s="284" t="s">
        <v>298</v>
      </c>
      <c r="C60" s="335">
        <v>1</v>
      </c>
      <c r="D60" s="335">
        <v>1</v>
      </c>
      <c r="E60" s="335">
        <v>1</v>
      </c>
      <c r="F60" s="335">
        <v>1</v>
      </c>
      <c r="G60" s="335">
        <v>1</v>
      </c>
      <c r="H60" s="335">
        <v>1</v>
      </c>
      <c r="K60" s="286"/>
      <c r="L60" s="286"/>
      <c r="M60" s="286"/>
      <c r="N60" s="286"/>
      <c r="O60" s="286"/>
      <c r="P60" s="286"/>
    </row>
    <row r="61" spans="1:16" ht="13.8" x14ac:dyDescent="0.25">
      <c r="A61" s="286"/>
      <c r="B61" s="284" t="s">
        <v>299</v>
      </c>
      <c r="C61" s="335">
        <v>1</v>
      </c>
      <c r="D61" s="335">
        <v>1</v>
      </c>
      <c r="E61" s="335">
        <v>1</v>
      </c>
      <c r="F61" s="335">
        <v>1</v>
      </c>
      <c r="G61" s="335">
        <v>1</v>
      </c>
      <c r="H61" s="335">
        <v>1</v>
      </c>
      <c r="K61" s="286"/>
      <c r="L61" s="286"/>
      <c r="M61" s="286"/>
      <c r="N61" s="286"/>
      <c r="O61" s="286"/>
      <c r="P61" s="286"/>
    </row>
    <row r="62" spans="1:16" ht="27.6" x14ac:dyDescent="0.25">
      <c r="A62" s="286"/>
      <c r="B62" s="284" t="s">
        <v>300</v>
      </c>
      <c r="C62" s="320">
        <v>2</v>
      </c>
      <c r="D62" s="320">
        <v>2</v>
      </c>
      <c r="E62" s="320">
        <v>2</v>
      </c>
      <c r="F62" s="320">
        <v>2</v>
      </c>
      <c r="G62" s="320">
        <v>2</v>
      </c>
      <c r="H62" s="320">
        <v>2</v>
      </c>
      <c r="K62" s="286"/>
      <c r="L62" s="286"/>
      <c r="M62" s="286"/>
      <c r="N62" s="286"/>
      <c r="O62" s="286"/>
      <c r="P62" s="286"/>
    </row>
    <row r="63" spans="1:16" ht="27.6" x14ac:dyDescent="0.25">
      <c r="A63" s="286"/>
      <c r="B63" s="282" t="s">
        <v>301</v>
      </c>
      <c r="C63" s="335">
        <v>1</v>
      </c>
      <c r="D63" s="335">
        <v>1</v>
      </c>
      <c r="E63" s="335">
        <v>1</v>
      </c>
      <c r="F63" s="335">
        <v>1</v>
      </c>
      <c r="G63" s="335">
        <v>1</v>
      </c>
      <c r="H63" s="335">
        <v>1</v>
      </c>
      <c r="K63" s="286"/>
      <c r="L63" s="286"/>
      <c r="M63" s="286"/>
      <c r="N63" s="286"/>
      <c r="O63" s="286"/>
      <c r="P63" s="286"/>
    </row>
    <row r="64" spans="1:16" ht="13.8" x14ac:dyDescent="0.25">
      <c r="A64" s="286"/>
      <c r="B64" s="313" t="s">
        <v>275</v>
      </c>
      <c r="C64" s="312">
        <f t="shared" ref="C64:H64" si="4">SUM(C56:C63)</f>
        <v>9</v>
      </c>
      <c r="D64" s="312">
        <f t="shared" si="4"/>
        <v>9</v>
      </c>
      <c r="E64" s="312">
        <f t="shared" si="4"/>
        <v>9</v>
      </c>
      <c r="F64" s="312">
        <f t="shared" si="4"/>
        <v>9</v>
      </c>
      <c r="G64" s="312">
        <f t="shared" si="4"/>
        <v>9</v>
      </c>
      <c r="H64" s="312">
        <f t="shared" si="4"/>
        <v>9</v>
      </c>
      <c r="K64" s="286"/>
      <c r="L64" s="286"/>
      <c r="M64" s="286"/>
      <c r="N64" s="286"/>
      <c r="O64" s="286"/>
      <c r="P64" s="286"/>
    </row>
    <row r="65" spans="1:21" ht="13.8" x14ac:dyDescent="0.25">
      <c r="A65" s="286"/>
      <c r="B65" s="331"/>
      <c r="C65" s="331"/>
      <c r="D65" s="331"/>
      <c r="E65" s="331"/>
      <c r="F65" s="331"/>
      <c r="G65" s="331"/>
      <c r="H65" s="331"/>
      <c r="K65" s="286"/>
      <c r="L65" s="286"/>
      <c r="M65" s="286"/>
      <c r="N65" s="286"/>
      <c r="O65" s="286"/>
      <c r="P65" s="286"/>
    </row>
    <row r="66" spans="1:21" ht="13.8" x14ac:dyDescent="0.25">
      <c r="A66" s="286"/>
      <c r="B66" s="334" t="s">
        <v>274</v>
      </c>
      <c r="C66" s="334"/>
      <c r="D66" s="334"/>
      <c r="E66" s="334"/>
      <c r="F66" s="334"/>
      <c r="G66" s="334"/>
      <c r="H66" s="334"/>
      <c r="K66" s="286"/>
      <c r="L66" s="286"/>
      <c r="M66" s="286"/>
      <c r="N66" s="286"/>
      <c r="O66" s="286"/>
      <c r="P66" s="286"/>
    </row>
    <row r="67" spans="1:21" ht="13.8" x14ac:dyDescent="0.25">
      <c r="A67" s="286"/>
      <c r="B67" s="284" t="s">
        <v>269</v>
      </c>
      <c r="C67" s="320">
        <v>0</v>
      </c>
      <c r="D67" s="323">
        <v>0</v>
      </c>
      <c r="E67" s="323">
        <v>0</v>
      </c>
      <c r="F67" s="323">
        <v>0</v>
      </c>
      <c r="G67" s="323">
        <v>0</v>
      </c>
      <c r="H67" s="323">
        <v>0</v>
      </c>
      <c r="K67" s="286"/>
      <c r="L67" s="286"/>
      <c r="M67" s="286"/>
      <c r="N67" s="286"/>
      <c r="O67" s="286"/>
      <c r="P67" s="286"/>
    </row>
    <row r="68" spans="1:21" ht="13.8" x14ac:dyDescent="0.25">
      <c r="A68" s="286"/>
      <c r="B68" s="284" t="s">
        <v>268</v>
      </c>
      <c r="C68" s="476">
        <v>0</v>
      </c>
      <c r="D68" s="477">
        <v>0</v>
      </c>
      <c r="E68" s="477">
        <v>0</v>
      </c>
      <c r="F68" s="477">
        <v>0</v>
      </c>
      <c r="G68" s="477">
        <v>0</v>
      </c>
      <c r="H68" s="477">
        <v>0</v>
      </c>
      <c r="K68" s="286"/>
      <c r="L68" s="286"/>
      <c r="M68" s="286"/>
      <c r="N68" s="286"/>
      <c r="O68" s="286"/>
      <c r="P68" s="286"/>
    </row>
    <row r="69" spans="1:21" ht="13.2" customHeight="1" x14ac:dyDescent="0.25">
      <c r="A69" s="286"/>
      <c r="B69" s="567" t="s">
        <v>429</v>
      </c>
      <c r="C69" s="563">
        <v>0</v>
      </c>
      <c r="D69" s="563">
        <v>0</v>
      </c>
      <c r="E69" s="563">
        <v>0</v>
      </c>
      <c r="F69" s="563">
        <v>0</v>
      </c>
      <c r="G69" s="563">
        <v>0</v>
      </c>
      <c r="H69" s="563">
        <v>0</v>
      </c>
      <c r="K69" s="286"/>
      <c r="L69" s="286"/>
      <c r="M69" s="286"/>
      <c r="N69" s="286"/>
      <c r="O69" s="286"/>
      <c r="P69" s="286"/>
      <c r="U69" s="333"/>
    </row>
    <row r="70" spans="1:21" ht="13.2" customHeight="1" x14ac:dyDescent="0.25">
      <c r="A70" s="286"/>
      <c r="B70" s="568"/>
      <c r="C70" s="563"/>
      <c r="D70" s="563"/>
      <c r="E70" s="563"/>
      <c r="F70" s="563"/>
      <c r="G70" s="563"/>
      <c r="H70" s="563"/>
      <c r="K70" s="286"/>
      <c r="L70" s="286"/>
      <c r="M70" s="286"/>
      <c r="N70" s="286"/>
      <c r="O70" s="286"/>
      <c r="P70" s="286"/>
    </row>
    <row r="71" spans="1:21" ht="13.2" customHeight="1" x14ac:dyDescent="0.25">
      <c r="A71" s="286"/>
      <c r="B71" s="567" t="s">
        <v>293</v>
      </c>
      <c r="C71" s="563">
        <v>0</v>
      </c>
      <c r="D71" s="563">
        <v>0</v>
      </c>
      <c r="E71" s="563">
        <v>0</v>
      </c>
      <c r="F71" s="563">
        <v>0</v>
      </c>
      <c r="G71" s="563">
        <v>0</v>
      </c>
      <c r="H71" s="563">
        <v>0</v>
      </c>
      <c r="K71" s="286"/>
      <c r="L71" s="286"/>
      <c r="M71" s="286"/>
      <c r="N71" s="286"/>
      <c r="O71" s="286"/>
      <c r="P71" s="286"/>
    </row>
    <row r="72" spans="1:21" ht="13.2" customHeight="1" x14ac:dyDescent="0.25">
      <c r="A72" s="286"/>
      <c r="B72" s="568"/>
      <c r="C72" s="563"/>
      <c r="D72" s="563"/>
      <c r="E72" s="563"/>
      <c r="F72" s="563"/>
      <c r="G72" s="563"/>
      <c r="H72" s="563"/>
      <c r="K72" s="286"/>
      <c r="L72" s="286"/>
      <c r="M72" s="286"/>
      <c r="N72" s="286"/>
      <c r="O72" s="286"/>
      <c r="P72" s="286"/>
    </row>
    <row r="73" spans="1:21" ht="13.2" customHeight="1" x14ac:dyDescent="0.25">
      <c r="A73" s="286"/>
      <c r="B73" s="567" t="s">
        <v>267</v>
      </c>
      <c r="C73" s="569">
        <v>0</v>
      </c>
      <c r="D73" s="569">
        <v>0</v>
      </c>
      <c r="E73" s="569">
        <v>0</v>
      </c>
      <c r="F73" s="569">
        <v>0</v>
      </c>
      <c r="G73" s="569">
        <v>0</v>
      </c>
      <c r="H73" s="569">
        <v>0</v>
      </c>
      <c r="K73" s="286"/>
      <c r="L73" s="286"/>
      <c r="M73" s="286"/>
      <c r="N73" s="286"/>
      <c r="O73" s="286"/>
      <c r="P73" s="286"/>
    </row>
    <row r="74" spans="1:21" ht="13.2" customHeight="1" x14ac:dyDescent="0.25">
      <c r="A74" s="286"/>
      <c r="B74" s="568"/>
      <c r="C74" s="569"/>
      <c r="D74" s="569"/>
      <c r="E74" s="569"/>
      <c r="F74" s="569"/>
      <c r="G74" s="569"/>
      <c r="H74" s="569"/>
      <c r="K74" s="286"/>
      <c r="L74" s="286"/>
      <c r="M74" s="286"/>
      <c r="N74" s="286"/>
      <c r="O74" s="286"/>
      <c r="P74" s="286"/>
    </row>
    <row r="75" spans="1:21" ht="13.8" x14ac:dyDescent="0.25">
      <c r="A75" s="286"/>
      <c r="B75" s="284" t="s">
        <v>266</v>
      </c>
      <c r="C75" s="476">
        <v>0</v>
      </c>
      <c r="D75" s="477">
        <v>0</v>
      </c>
      <c r="E75" s="477">
        <v>0</v>
      </c>
      <c r="F75" s="477">
        <v>0</v>
      </c>
      <c r="G75" s="477">
        <v>0</v>
      </c>
      <c r="H75" s="477">
        <v>0</v>
      </c>
      <c r="K75" s="286"/>
      <c r="L75" s="286"/>
      <c r="M75" s="286"/>
      <c r="N75" s="286"/>
      <c r="O75" s="286"/>
      <c r="P75" s="286"/>
    </row>
    <row r="76" spans="1:21" ht="13.8" x14ac:dyDescent="0.25">
      <c r="A76" s="286"/>
      <c r="B76" s="284" t="s">
        <v>265</v>
      </c>
      <c r="C76" s="476">
        <v>0</v>
      </c>
      <c r="D76" s="477">
        <v>0</v>
      </c>
      <c r="E76" s="477">
        <v>0</v>
      </c>
      <c r="F76" s="477">
        <v>0</v>
      </c>
      <c r="G76" s="477">
        <v>0</v>
      </c>
      <c r="H76" s="477">
        <v>0</v>
      </c>
      <c r="K76" s="286"/>
      <c r="L76" s="286"/>
      <c r="M76" s="286"/>
      <c r="N76" s="286"/>
      <c r="O76" s="286"/>
      <c r="P76" s="286"/>
    </row>
    <row r="77" spans="1:21" ht="13.8" x14ac:dyDescent="0.25">
      <c r="A77" s="286"/>
      <c r="B77" s="284" t="s">
        <v>264</v>
      </c>
      <c r="C77" s="476">
        <v>0</v>
      </c>
      <c r="D77" s="477">
        <v>0</v>
      </c>
      <c r="E77" s="477">
        <v>0</v>
      </c>
      <c r="F77" s="477">
        <v>0</v>
      </c>
      <c r="G77" s="477">
        <v>0</v>
      </c>
      <c r="H77" s="477">
        <v>0</v>
      </c>
      <c r="K77" s="286"/>
      <c r="L77" s="286"/>
      <c r="M77" s="286"/>
      <c r="N77" s="286"/>
      <c r="O77" s="286"/>
      <c r="P77" s="286"/>
    </row>
    <row r="78" spans="1:21" ht="13.8" x14ac:dyDescent="0.25">
      <c r="A78" s="286"/>
      <c r="B78" s="284" t="s">
        <v>417</v>
      </c>
      <c r="C78" s="476">
        <v>0</v>
      </c>
      <c r="D78" s="477">
        <v>0</v>
      </c>
      <c r="E78" s="477">
        <v>0</v>
      </c>
      <c r="F78" s="477">
        <v>0</v>
      </c>
      <c r="G78" s="477">
        <v>0</v>
      </c>
      <c r="H78" s="477">
        <v>0</v>
      </c>
      <c r="K78" s="286"/>
      <c r="L78" s="286"/>
      <c r="M78" s="286"/>
      <c r="N78" s="286"/>
      <c r="O78" s="286"/>
      <c r="P78" s="286"/>
    </row>
    <row r="79" spans="1:21" ht="13.8" x14ac:dyDescent="0.25">
      <c r="A79" s="286"/>
      <c r="B79" s="284" t="s">
        <v>40</v>
      </c>
      <c r="C79" s="476">
        <v>0</v>
      </c>
      <c r="D79" s="477">
        <v>0</v>
      </c>
      <c r="E79" s="477">
        <v>0</v>
      </c>
      <c r="F79" s="477">
        <v>0</v>
      </c>
      <c r="G79" s="477">
        <v>0</v>
      </c>
      <c r="H79" s="477">
        <v>0</v>
      </c>
      <c r="K79" s="286"/>
      <c r="L79" s="286"/>
      <c r="M79" s="286"/>
      <c r="N79" s="286"/>
      <c r="O79" s="286"/>
      <c r="P79" s="286"/>
    </row>
    <row r="80" spans="1:21" ht="13.8" x14ac:dyDescent="0.25">
      <c r="A80" s="286"/>
      <c r="B80" s="284" t="s">
        <v>32</v>
      </c>
      <c r="C80" s="476">
        <v>0</v>
      </c>
      <c r="D80" s="477">
        <v>0</v>
      </c>
      <c r="E80" s="477">
        <v>0</v>
      </c>
      <c r="F80" s="477">
        <v>0</v>
      </c>
      <c r="G80" s="477">
        <v>0</v>
      </c>
      <c r="H80" s="477">
        <v>0</v>
      </c>
      <c r="K80" s="286"/>
      <c r="L80" s="286"/>
      <c r="M80" s="286"/>
      <c r="N80" s="286"/>
      <c r="O80" s="286"/>
      <c r="P80" s="286"/>
    </row>
    <row r="81" spans="1:16" ht="13.8" x14ac:dyDescent="0.25">
      <c r="A81" s="286"/>
      <c r="B81" s="284" t="s">
        <v>33</v>
      </c>
      <c r="C81" s="476">
        <v>0</v>
      </c>
      <c r="D81" s="477">
        <v>0</v>
      </c>
      <c r="E81" s="477">
        <v>0</v>
      </c>
      <c r="F81" s="477">
        <v>0</v>
      </c>
      <c r="G81" s="477">
        <v>0</v>
      </c>
      <c r="H81" s="477">
        <v>0</v>
      </c>
      <c r="K81" s="286"/>
      <c r="L81" s="286"/>
      <c r="M81" s="286"/>
      <c r="N81" s="286"/>
      <c r="O81" s="286"/>
      <c r="P81" s="286"/>
    </row>
    <row r="82" spans="1:16" ht="13.8" x14ac:dyDescent="0.25">
      <c r="A82" s="286"/>
      <c r="B82" s="284" t="s">
        <v>263</v>
      </c>
      <c r="C82" s="476">
        <v>0</v>
      </c>
      <c r="D82" s="477">
        <v>0</v>
      </c>
      <c r="E82" s="477">
        <v>0</v>
      </c>
      <c r="F82" s="477">
        <v>0</v>
      </c>
      <c r="G82" s="477">
        <v>0</v>
      </c>
      <c r="H82" s="477">
        <v>0</v>
      </c>
      <c r="K82" s="286"/>
      <c r="L82" s="286"/>
      <c r="M82" s="286"/>
      <c r="N82" s="286"/>
      <c r="O82" s="286"/>
      <c r="P82" s="286"/>
    </row>
    <row r="83" spans="1:16" ht="13.8" x14ac:dyDescent="0.25">
      <c r="A83" s="286"/>
      <c r="B83" s="284" t="s">
        <v>262</v>
      </c>
      <c r="C83" s="476">
        <v>0</v>
      </c>
      <c r="D83" s="477">
        <v>0</v>
      </c>
      <c r="E83" s="477">
        <v>0</v>
      </c>
      <c r="F83" s="477">
        <v>0</v>
      </c>
      <c r="G83" s="477">
        <v>0</v>
      </c>
      <c r="H83" s="477">
        <v>0</v>
      </c>
      <c r="K83" s="286"/>
      <c r="L83" s="286"/>
      <c r="M83" s="286"/>
      <c r="N83" s="286"/>
      <c r="O83" s="286"/>
      <c r="P83" s="286"/>
    </row>
    <row r="84" spans="1:16" ht="13.8" x14ac:dyDescent="0.25">
      <c r="A84" s="286"/>
      <c r="B84" s="282" t="s">
        <v>261</v>
      </c>
      <c r="C84" s="476">
        <v>0</v>
      </c>
      <c r="D84" s="477">
        <v>0</v>
      </c>
      <c r="E84" s="477">
        <v>0</v>
      </c>
      <c r="F84" s="477">
        <v>0</v>
      </c>
      <c r="G84" s="477">
        <v>0</v>
      </c>
      <c r="H84" s="477">
        <v>0</v>
      </c>
      <c r="K84" s="286"/>
      <c r="L84" s="286"/>
      <c r="M84" s="286"/>
      <c r="N84" s="286"/>
      <c r="O84" s="286"/>
      <c r="P84" s="286"/>
    </row>
    <row r="85" spans="1:16" ht="13.8" x14ac:dyDescent="0.25">
      <c r="A85" s="286"/>
      <c r="B85" s="313" t="s">
        <v>273</v>
      </c>
      <c r="C85" s="332">
        <f t="shared" ref="C85:H85" si="5">SUM(C67:C84)</f>
        <v>0</v>
      </c>
      <c r="D85" s="312">
        <f t="shared" si="5"/>
        <v>0</v>
      </c>
      <c r="E85" s="312">
        <f t="shared" si="5"/>
        <v>0</v>
      </c>
      <c r="F85" s="312">
        <f t="shared" si="5"/>
        <v>0</v>
      </c>
      <c r="G85" s="312">
        <f t="shared" si="5"/>
        <v>0</v>
      </c>
      <c r="H85" s="312">
        <f t="shared" si="5"/>
        <v>0</v>
      </c>
      <c r="K85" s="286"/>
      <c r="L85" s="286"/>
      <c r="M85" s="286"/>
      <c r="N85" s="286"/>
      <c r="O85" s="286"/>
      <c r="P85" s="286"/>
    </row>
    <row r="86" spans="1:16" ht="13.8" x14ac:dyDescent="0.25">
      <c r="A86" s="286"/>
      <c r="B86" s="331"/>
      <c r="C86" s="330"/>
      <c r="D86" s="330"/>
      <c r="E86" s="330"/>
      <c r="F86" s="330"/>
      <c r="G86" s="330"/>
      <c r="H86" s="330"/>
      <c r="K86" s="286"/>
      <c r="L86" s="286"/>
      <c r="M86" s="286"/>
      <c r="N86" s="286"/>
      <c r="O86" s="286"/>
      <c r="P86" s="286"/>
    </row>
    <row r="87" spans="1:16" ht="13.8" x14ac:dyDescent="0.25">
      <c r="A87" s="286"/>
      <c r="B87" s="324" t="s">
        <v>272</v>
      </c>
      <c r="C87" s="329"/>
      <c r="D87" s="329"/>
      <c r="E87" s="329"/>
      <c r="F87" s="329"/>
      <c r="G87" s="329"/>
      <c r="H87" s="329"/>
      <c r="K87" s="286"/>
      <c r="L87" s="286"/>
      <c r="M87" s="286"/>
      <c r="N87" s="286"/>
      <c r="O87" s="286"/>
      <c r="P87" s="286"/>
    </row>
    <row r="88" spans="1:16" ht="13.8" x14ac:dyDescent="0.25">
      <c r="A88" s="286"/>
      <c r="B88" s="284" t="s">
        <v>269</v>
      </c>
      <c r="C88" s="362">
        <f>C27/2</f>
        <v>0.5</v>
      </c>
      <c r="D88" s="362">
        <f t="shared" ref="D88:H89" si="6">D27/2</f>
        <v>0.5</v>
      </c>
      <c r="E88" s="362">
        <f t="shared" si="6"/>
        <v>0.5</v>
      </c>
      <c r="F88" s="362">
        <f t="shared" si="6"/>
        <v>0.5</v>
      </c>
      <c r="G88" s="362">
        <f t="shared" si="6"/>
        <v>0.5</v>
      </c>
      <c r="H88" s="362">
        <f t="shared" si="6"/>
        <v>0.5</v>
      </c>
      <c r="K88" s="286"/>
      <c r="L88" s="286"/>
      <c r="M88" s="286"/>
      <c r="N88" s="286"/>
      <c r="O88" s="286"/>
      <c r="P88" s="286"/>
    </row>
    <row r="89" spans="1:16" ht="13.8" x14ac:dyDescent="0.25">
      <c r="A89" s="286"/>
      <c r="B89" s="284" t="s">
        <v>268</v>
      </c>
      <c r="C89" s="362">
        <f>C28/2</f>
        <v>0</v>
      </c>
      <c r="D89" s="362">
        <f t="shared" si="6"/>
        <v>0</v>
      </c>
      <c r="E89" s="362">
        <f t="shared" si="6"/>
        <v>0.5</v>
      </c>
      <c r="F89" s="362">
        <f t="shared" si="6"/>
        <v>0.5</v>
      </c>
      <c r="G89" s="362">
        <f t="shared" si="6"/>
        <v>0.5</v>
      </c>
      <c r="H89" s="362">
        <f t="shared" si="6"/>
        <v>0.5</v>
      </c>
      <c r="K89" s="286"/>
      <c r="L89" s="286"/>
      <c r="M89" s="286"/>
      <c r="N89" s="286"/>
      <c r="O89" s="286"/>
      <c r="P89" s="286"/>
    </row>
    <row r="90" spans="1:16" ht="13.2" customHeight="1" x14ac:dyDescent="0.25">
      <c r="A90" s="286"/>
      <c r="B90" s="567" t="s">
        <v>429</v>
      </c>
      <c r="C90" s="563">
        <f>C29/2</f>
        <v>0.5</v>
      </c>
      <c r="D90" s="563">
        <f t="shared" ref="D90:H90" si="7">D29/2</f>
        <v>0.5</v>
      </c>
      <c r="E90" s="563">
        <f t="shared" si="7"/>
        <v>1</v>
      </c>
      <c r="F90" s="563">
        <f t="shared" si="7"/>
        <v>1</v>
      </c>
      <c r="G90" s="563">
        <f t="shared" si="7"/>
        <v>1</v>
      </c>
      <c r="H90" s="563">
        <f t="shared" si="7"/>
        <v>1</v>
      </c>
      <c r="K90" s="286"/>
      <c r="L90" s="286"/>
      <c r="M90" s="286"/>
      <c r="N90" s="286"/>
      <c r="O90" s="286"/>
      <c r="P90" s="286"/>
    </row>
    <row r="91" spans="1:16" ht="13.2" customHeight="1" x14ac:dyDescent="0.25">
      <c r="B91" s="568"/>
      <c r="C91" s="563"/>
      <c r="D91" s="563"/>
      <c r="E91" s="563"/>
      <c r="F91" s="563"/>
      <c r="G91" s="563"/>
      <c r="H91" s="563"/>
    </row>
    <row r="92" spans="1:16" ht="13.2" customHeight="1" x14ac:dyDescent="0.25">
      <c r="B92" s="567" t="s">
        <v>293</v>
      </c>
      <c r="C92" s="563">
        <f>C31/2</f>
        <v>0</v>
      </c>
      <c r="D92" s="563">
        <f t="shared" ref="D92:H92" si="8">D31/2</f>
        <v>0.5</v>
      </c>
      <c r="E92" s="563">
        <f t="shared" si="8"/>
        <v>0</v>
      </c>
      <c r="F92" s="569">
        <f t="shared" si="8"/>
        <v>0.5</v>
      </c>
      <c r="G92" s="569">
        <f t="shared" si="8"/>
        <v>0.5</v>
      </c>
      <c r="H92" s="569">
        <f t="shared" si="8"/>
        <v>0.5</v>
      </c>
    </row>
    <row r="93" spans="1:16" ht="13.2" customHeight="1" x14ac:dyDescent="0.25">
      <c r="B93" s="568"/>
      <c r="C93" s="563"/>
      <c r="D93" s="563"/>
      <c r="E93" s="563"/>
      <c r="F93" s="569"/>
      <c r="G93" s="569"/>
      <c r="H93" s="569"/>
    </row>
    <row r="94" spans="1:16" ht="13.2" customHeight="1" x14ac:dyDescent="0.25">
      <c r="B94" s="567" t="s">
        <v>267</v>
      </c>
      <c r="C94" s="569">
        <f>C33/2</f>
        <v>0</v>
      </c>
      <c r="D94" s="569">
        <f t="shared" ref="D94:H94" si="9">D33/2</f>
        <v>0</v>
      </c>
      <c r="E94" s="569">
        <f t="shared" si="9"/>
        <v>0</v>
      </c>
      <c r="F94" s="569">
        <f t="shared" si="9"/>
        <v>0</v>
      </c>
      <c r="G94" s="569">
        <f t="shared" si="9"/>
        <v>0</v>
      </c>
      <c r="H94" s="569">
        <f t="shared" si="9"/>
        <v>0</v>
      </c>
    </row>
    <row r="95" spans="1:16" ht="13.2" customHeight="1" x14ac:dyDescent="0.25">
      <c r="B95" s="568"/>
      <c r="C95" s="569"/>
      <c r="D95" s="569"/>
      <c r="E95" s="569"/>
      <c r="F95" s="569"/>
      <c r="G95" s="569"/>
      <c r="H95" s="569"/>
    </row>
    <row r="96" spans="1:16" ht="13.8" x14ac:dyDescent="0.25">
      <c r="B96" s="284" t="s">
        <v>266</v>
      </c>
      <c r="C96" s="320">
        <f>SUM('6-Year (auto-populated)'!K12:K14)</f>
        <v>3</v>
      </c>
      <c r="D96" s="476">
        <f>SUM('6-Year (auto-populated)'!L12:L14)</f>
        <v>6</v>
      </c>
      <c r="E96" s="476">
        <f>SUM('6-Year (auto-populated)'!M12:M14)</f>
        <v>9</v>
      </c>
      <c r="F96" s="476">
        <f>SUM('6-Year (auto-populated)'!N12:N14)</f>
        <v>9</v>
      </c>
      <c r="G96" s="476">
        <f>SUM('6-Year (auto-populated)'!O12:O14)</f>
        <v>9</v>
      </c>
      <c r="H96" s="476">
        <f>SUM('6-Year (auto-populated)'!P12:P14)</f>
        <v>9</v>
      </c>
    </row>
    <row r="97" spans="1:16" ht="13.8" x14ac:dyDescent="0.25">
      <c r="B97" s="284" t="s">
        <v>265</v>
      </c>
      <c r="C97" s="323">
        <f>SUM('6-Year (auto-populated)'!D31:D36)/2</f>
        <v>0</v>
      </c>
      <c r="D97" s="477">
        <f>SUM('6-Year (auto-populated)'!E31:E36)/2</f>
        <v>0.5</v>
      </c>
      <c r="E97" s="477">
        <f>SUM('6-Year (auto-populated)'!F31:F36)/2</f>
        <v>1.25</v>
      </c>
      <c r="F97" s="477">
        <f>SUM('6-Year (auto-populated)'!G31:G36)/2</f>
        <v>1.75</v>
      </c>
      <c r="G97" s="477">
        <f>SUM('6-Year (auto-populated)'!H31:H36)/2</f>
        <v>2.25</v>
      </c>
      <c r="H97" s="477">
        <f>SUM('6-Year (auto-populated)'!I31:I36)/2</f>
        <v>2.25</v>
      </c>
    </row>
    <row r="98" spans="1:16" ht="13.8" x14ac:dyDescent="0.25">
      <c r="B98" s="284" t="s">
        <v>264</v>
      </c>
      <c r="C98" s="477">
        <f>'6-Year (auto-populated)'!D30/2</f>
        <v>0.5</v>
      </c>
      <c r="D98" s="477">
        <f>'6-Year (auto-populated)'!E30/2</f>
        <v>0.75</v>
      </c>
      <c r="E98" s="477">
        <f>'6-Year (auto-populated)'!F30/2</f>
        <v>1.25</v>
      </c>
      <c r="F98" s="477">
        <f>'6-Year (auto-populated)'!G30/2</f>
        <v>1.5</v>
      </c>
      <c r="G98" s="477">
        <f>'6-Year (auto-populated)'!H30/2</f>
        <v>1.5</v>
      </c>
      <c r="H98" s="477">
        <f>'6-Year (auto-populated)'!I30/2</f>
        <v>1.75</v>
      </c>
    </row>
    <row r="99" spans="1:16" ht="13.8" x14ac:dyDescent="0.25">
      <c r="A99" s="286"/>
      <c r="B99" s="284" t="s">
        <v>417</v>
      </c>
      <c r="C99" s="479">
        <f>'6-Year (auto-populated)'!D58/2</f>
        <v>0.5</v>
      </c>
      <c r="D99" s="479">
        <f>'6-Year (auto-populated)'!E58/2</f>
        <v>0.5</v>
      </c>
      <c r="E99" s="477">
        <f>'6-Year (auto-populated)'!F58/2</f>
        <v>0.5</v>
      </c>
      <c r="F99" s="477">
        <f>'6-Year (auto-populated)'!G58/2</f>
        <v>0.5</v>
      </c>
      <c r="G99" s="477">
        <f>'6-Year (auto-populated)'!H58/2</f>
        <v>0.5</v>
      </c>
      <c r="H99" s="477">
        <f>'6-Year (auto-populated)'!I58/2</f>
        <v>0.5</v>
      </c>
      <c r="K99" s="286"/>
      <c r="L99" s="286"/>
      <c r="M99" s="286"/>
      <c r="N99" s="286"/>
      <c r="O99" s="286"/>
      <c r="P99" s="286"/>
    </row>
    <row r="100" spans="1:16" ht="13.8" x14ac:dyDescent="0.25">
      <c r="B100" s="284" t="s">
        <v>40</v>
      </c>
      <c r="C100" s="363">
        <f>C39/2</f>
        <v>0</v>
      </c>
      <c r="D100" s="363">
        <f t="shared" ref="D100:H100" si="10">D39/2</f>
        <v>0</v>
      </c>
      <c r="E100" s="363">
        <f t="shared" si="10"/>
        <v>0</v>
      </c>
      <c r="F100" s="363">
        <f t="shared" si="10"/>
        <v>0</v>
      </c>
      <c r="G100" s="363">
        <f t="shared" si="10"/>
        <v>0</v>
      </c>
      <c r="H100" s="363">
        <f t="shared" si="10"/>
        <v>0</v>
      </c>
    </row>
    <row r="101" spans="1:16" ht="13.8" x14ac:dyDescent="0.25">
      <c r="B101" s="284" t="s">
        <v>32</v>
      </c>
      <c r="C101" s="363">
        <f t="shared" ref="C101:H105" si="11">C40/2</f>
        <v>0.5</v>
      </c>
      <c r="D101" s="363">
        <f t="shared" si="11"/>
        <v>0.5</v>
      </c>
      <c r="E101" s="363">
        <f t="shared" si="11"/>
        <v>0.5</v>
      </c>
      <c r="F101" s="363">
        <f t="shared" si="11"/>
        <v>0.5</v>
      </c>
      <c r="G101" s="363">
        <f t="shared" si="11"/>
        <v>0.5</v>
      </c>
      <c r="H101" s="363">
        <f t="shared" si="11"/>
        <v>0.5</v>
      </c>
    </row>
    <row r="102" spans="1:16" ht="13.8" x14ac:dyDescent="0.25">
      <c r="B102" s="284" t="s">
        <v>33</v>
      </c>
      <c r="C102" s="363">
        <f t="shared" si="11"/>
        <v>0</v>
      </c>
      <c r="D102" s="363">
        <f t="shared" si="11"/>
        <v>0</v>
      </c>
      <c r="E102" s="363">
        <f t="shared" si="11"/>
        <v>0</v>
      </c>
      <c r="F102" s="363">
        <f t="shared" si="11"/>
        <v>0.25</v>
      </c>
      <c r="G102" s="363">
        <f t="shared" si="11"/>
        <v>0.25</v>
      </c>
      <c r="H102" s="363">
        <f t="shared" si="11"/>
        <v>0.5</v>
      </c>
    </row>
    <row r="103" spans="1:16" ht="13.8" x14ac:dyDescent="0.25">
      <c r="B103" s="284" t="s">
        <v>263</v>
      </c>
      <c r="C103" s="363">
        <f t="shared" si="11"/>
        <v>0</v>
      </c>
      <c r="D103" s="363">
        <f t="shared" si="11"/>
        <v>0.5</v>
      </c>
      <c r="E103" s="363">
        <f t="shared" si="11"/>
        <v>0.5</v>
      </c>
      <c r="F103" s="363">
        <f t="shared" si="11"/>
        <v>1</v>
      </c>
      <c r="G103" s="363">
        <f t="shared" si="11"/>
        <v>1</v>
      </c>
      <c r="H103" s="363">
        <f t="shared" si="11"/>
        <v>1</v>
      </c>
    </row>
    <row r="104" spans="1:16" ht="13.8" x14ac:dyDescent="0.25">
      <c r="B104" s="284" t="s">
        <v>262</v>
      </c>
      <c r="C104" s="363">
        <f t="shared" si="11"/>
        <v>1</v>
      </c>
      <c r="D104" s="363">
        <f t="shared" si="11"/>
        <v>1.5</v>
      </c>
      <c r="E104" s="363">
        <f t="shared" si="11"/>
        <v>1.5</v>
      </c>
      <c r="F104" s="363">
        <f t="shared" si="11"/>
        <v>2</v>
      </c>
      <c r="G104" s="363">
        <f t="shared" si="11"/>
        <v>2</v>
      </c>
      <c r="H104" s="363">
        <f t="shared" si="11"/>
        <v>2</v>
      </c>
    </row>
    <row r="105" spans="1:16" ht="13.8" x14ac:dyDescent="0.25">
      <c r="B105" s="321" t="s">
        <v>261</v>
      </c>
      <c r="C105" s="322">
        <f t="shared" si="11"/>
        <v>0.5</v>
      </c>
      <c r="D105" s="322">
        <f t="shared" si="11"/>
        <v>1</v>
      </c>
      <c r="E105" s="322">
        <f t="shared" si="11"/>
        <v>1</v>
      </c>
      <c r="F105" s="322">
        <f t="shared" si="11"/>
        <v>1</v>
      </c>
      <c r="G105" s="322">
        <f t="shared" si="11"/>
        <v>1</v>
      </c>
      <c r="H105" s="322">
        <f t="shared" si="11"/>
        <v>1</v>
      </c>
    </row>
    <row r="106" spans="1:16" ht="13.8" x14ac:dyDescent="0.25">
      <c r="B106" s="313" t="s">
        <v>271</v>
      </c>
      <c r="C106" s="312">
        <f t="shared" ref="C106:H106" si="12">SUM(C88:C105)</f>
        <v>7</v>
      </c>
      <c r="D106" s="312">
        <f t="shared" si="12"/>
        <v>12.75</v>
      </c>
      <c r="E106" s="312">
        <f t="shared" si="12"/>
        <v>17.5</v>
      </c>
      <c r="F106" s="312">
        <f t="shared" si="12"/>
        <v>20</v>
      </c>
      <c r="G106" s="312">
        <f t="shared" si="12"/>
        <v>20.5</v>
      </c>
      <c r="H106" s="312">
        <f t="shared" si="12"/>
        <v>21</v>
      </c>
      <c r="I106" s="328"/>
    </row>
    <row r="107" spans="1:16" ht="13.8" x14ac:dyDescent="0.25">
      <c r="A107" s="327"/>
      <c r="B107" s="326"/>
      <c r="C107" s="325"/>
      <c r="D107" s="325"/>
      <c r="E107" s="325"/>
      <c r="F107" s="325"/>
      <c r="G107" s="325"/>
      <c r="H107" s="325"/>
    </row>
    <row r="108" spans="1:16" ht="13.8" x14ac:dyDescent="0.25">
      <c r="B108" s="324" t="s">
        <v>270</v>
      </c>
      <c r="C108" s="324"/>
      <c r="D108" s="324"/>
      <c r="E108" s="324"/>
      <c r="F108" s="324"/>
      <c r="G108" s="324"/>
      <c r="H108" s="324"/>
    </row>
    <row r="109" spans="1:16" ht="13.8" x14ac:dyDescent="0.25">
      <c r="B109" s="284" t="s">
        <v>269</v>
      </c>
      <c r="C109" s="477">
        <f>C27/2</f>
        <v>0.5</v>
      </c>
      <c r="D109" s="477">
        <f t="shared" ref="D109:H110" si="13">D27/2</f>
        <v>0.5</v>
      </c>
      <c r="E109" s="477">
        <f t="shared" si="13"/>
        <v>0.5</v>
      </c>
      <c r="F109" s="477">
        <f t="shared" si="13"/>
        <v>0.5</v>
      </c>
      <c r="G109" s="477">
        <f t="shared" si="13"/>
        <v>0.5</v>
      </c>
      <c r="H109" s="477">
        <f t="shared" si="13"/>
        <v>0.5</v>
      </c>
    </row>
    <row r="110" spans="1:16" ht="13.8" x14ac:dyDescent="0.25">
      <c r="B110" s="284" t="s">
        <v>268</v>
      </c>
      <c r="C110" s="477">
        <f>C28/2</f>
        <v>0</v>
      </c>
      <c r="D110" s="477">
        <f t="shared" si="13"/>
        <v>0</v>
      </c>
      <c r="E110" s="477">
        <f t="shared" si="13"/>
        <v>0.5</v>
      </c>
      <c r="F110" s="477">
        <f t="shared" si="13"/>
        <v>0.5</v>
      </c>
      <c r="G110" s="477">
        <f t="shared" si="13"/>
        <v>0.5</v>
      </c>
      <c r="H110" s="477">
        <f t="shared" si="13"/>
        <v>0.5</v>
      </c>
    </row>
    <row r="111" spans="1:16" ht="13.2" customHeight="1" x14ac:dyDescent="0.25">
      <c r="B111" s="567" t="s">
        <v>429</v>
      </c>
      <c r="C111" s="563">
        <f>C29/2</f>
        <v>0.5</v>
      </c>
      <c r="D111" s="563">
        <f t="shared" ref="D111:H111" si="14">D29/2</f>
        <v>0.5</v>
      </c>
      <c r="E111" s="563">
        <f t="shared" si="14"/>
        <v>1</v>
      </c>
      <c r="F111" s="563">
        <f t="shared" si="14"/>
        <v>1</v>
      </c>
      <c r="G111" s="563">
        <f t="shared" si="14"/>
        <v>1</v>
      </c>
      <c r="H111" s="563">
        <f t="shared" si="14"/>
        <v>1</v>
      </c>
    </row>
    <row r="112" spans="1:16" ht="13.2" customHeight="1" x14ac:dyDescent="0.25">
      <c r="B112" s="568"/>
      <c r="C112" s="563"/>
      <c r="D112" s="563"/>
      <c r="E112" s="563"/>
      <c r="F112" s="563"/>
      <c r="G112" s="563"/>
      <c r="H112" s="563"/>
    </row>
    <row r="113" spans="1:16" ht="13.2" customHeight="1" x14ac:dyDescent="0.25">
      <c r="B113" s="567" t="s">
        <v>293</v>
      </c>
      <c r="C113" s="563">
        <f>C31/2</f>
        <v>0</v>
      </c>
      <c r="D113" s="563">
        <f t="shared" ref="D113:H113" si="15">D31/2</f>
        <v>0.5</v>
      </c>
      <c r="E113" s="563">
        <f t="shared" si="15"/>
        <v>0</v>
      </c>
      <c r="F113" s="569">
        <f t="shared" si="15"/>
        <v>0.5</v>
      </c>
      <c r="G113" s="569">
        <f t="shared" si="15"/>
        <v>0.5</v>
      </c>
      <c r="H113" s="569">
        <f t="shared" si="15"/>
        <v>0.5</v>
      </c>
    </row>
    <row r="114" spans="1:16" ht="13.2" customHeight="1" x14ac:dyDescent="0.25">
      <c r="B114" s="568"/>
      <c r="C114" s="563"/>
      <c r="D114" s="563"/>
      <c r="E114" s="563"/>
      <c r="F114" s="569"/>
      <c r="G114" s="569"/>
      <c r="H114" s="569"/>
    </row>
    <row r="115" spans="1:16" ht="13.2" customHeight="1" x14ac:dyDescent="0.25">
      <c r="B115" s="567" t="s">
        <v>267</v>
      </c>
      <c r="C115" s="570">
        <f>C33/2</f>
        <v>0</v>
      </c>
      <c r="D115" s="570">
        <f t="shared" ref="D115:H115" si="16">D33/2</f>
        <v>0</v>
      </c>
      <c r="E115" s="570">
        <f t="shared" si="16"/>
        <v>0</v>
      </c>
      <c r="F115" s="570">
        <f t="shared" si="16"/>
        <v>0</v>
      </c>
      <c r="G115" s="570">
        <f t="shared" si="16"/>
        <v>0</v>
      </c>
      <c r="H115" s="570">
        <f t="shared" si="16"/>
        <v>0</v>
      </c>
    </row>
    <row r="116" spans="1:16" ht="13.2" customHeight="1" x14ac:dyDescent="0.25">
      <c r="B116" s="568"/>
      <c r="C116" s="571"/>
      <c r="D116" s="571"/>
      <c r="E116" s="571"/>
      <c r="F116" s="571"/>
      <c r="G116" s="571"/>
      <c r="H116" s="571"/>
    </row>
    <row r="117" spans="1:16" ht="13.8" x14ac:dyDescent="0.25">
      <c r="B117" s="284" t="s">
        <v>266</v>
      </c>
      <c r="C117" s="320">
        <f>SUM('6-Year (auto-populated)'!K15:K18)</f>
        <v>1</v>
      </c>
      <c r="D117" s="476">
        <f>SUM('6-Year (auto-populated)'!L15:L18)</f>
        <v>4</v>
      </c>
      <c r="E117" s="476">
        <f>SUM('6-Year (auto-populated)'!M15:M18)</f>
        <v>6</v>
      </c>
      <c r="F117" s="476">
        <f>SUM('6-Year (auto-populated)'!N15:N18)</f>
        <v>9</v>
      </c>
      <c r="G117" s="476">
        <f>SUM('6-Year (auto-populated)'!O15:O18)</f>
        <v>10</v>
      </c>
      <c r="H117" s="476">
        <f>SUM('6-Year (auto-populated)'!P15:P18)</f>
        <v>11</v>
      </c>
    </row>
    <row r="118" spans="1:16" ht="13.8" x14ac:dyDescent="0.25">
      <c r="B118" s="284" t="s">
        <v>265</v>
      </c>
      <c r="C118" s="477">
        <f>SUM('6-Year (auto-populated)'!D31:D36)/2</f>
        <v>0</v>
      </c>
      <c r="D118" s="477">
        <f>SUM('6-Year (auto-populated)'!E31:E36)/2</f>
        <v>0.5</v>
      </c>
      <c r="E118" s="476">
        <f>SUM('6-Year (auto-populated)'!F31:F36)/2</f>
        <v>1.25</v>
      </c>
      <c r="F118" s="477">
        <f>SUM('6-Year (auto-populated)'!G31:G36)/2</f>
        <v>1.75</v>
      </c>
      <c r="G118" s="476">
        <f>SUM('6-Year (auto-populated)'!H31:H36)/2</f>
        <v>2.25</v>
      </c>
      <c r="H118" s="477">
        <f>SUM('6-Year (auto-populated)'!I31:I36)/2</f>
        <v>2.25</v>
      </c>
    </row>
    <row r="119" spans="1:16" ht="13.8" x14ac:dyDescent="0.25">
      <c r="B119" s="284" t="s">
        <v>264</v>
      </c>
      <c r="C119" s="477">
        <f>'6-Year (auto-populated)'!D30/2</f>
        <v>0.5</v>
      </c>
      <c r="D119" s="477">
        <f>'6-Year (auto-populated)'!E30/2</f>
        <v>0.75</v>
      </c>
      <c r="E119" s="477">
        <f>'6-Year (auto-populated)'!F30/2</f>
        <v>1.25</v>
      </c>
      <c r="F119" s="477">
        <f>'6-Year (auto-populated)'!G30/2</f>
        <v>1.5</v>
      </c>
      <c r="G119" s="477">
        <f>'6-Year (auto-populated)'!H30/2</f>
        <v>1.5</v>
      </c>
      <c r="H119" s="477">
        <f>'6-Year (auto-populated)'!I30/2</f>
        <v>1.75</v>
      </c>
    </row>
    <row r="120" spans="1:16" ht="13.8" x14ac:dyDescent="0.25">
      <c r="A120" s="286"/>
      <c r="B120" s="284" t="s">
        <v>417</v>
      </c>
      <c r="C120" s="479">
        <f>'6-Year (auto-populated)'!D58/2</f>
        <v>0.5</v>
      </c>
      <c r="D120" s="479">
        <f>'6-Year (auto-populated)'!E58/2</f>
        <v>0.5</v>
      </c>
      <c r="E120" s="477">
        <f>'6-Year (auto-populated)'!F58/2</f>
        <v>0.5</v>
      </c>
      <c r="F120" s="477">
        <f>'6-Year (auto-populated)'!G58/2</f>
        <v>0.5</v>
      </c>
      <c r="G120" s="477">
        <f>'6-Year (auto-populated)'!H58/2</f>
        <v>0.5</v>
      </c>
      <c r="H120" s="477">
        <f>'6-Year (auto-populated)'!I58/2</f>
        <v>0.5</v>
      </c>
      <c r="K120" s="286"/>
      <c r="L120" s="286"/>
      <c r="M120" s="286"/>
      <c r="N120" s="286"/>
      <c r="O120" s="286"/>
      <c r="P120" s="286"/>
    </row>
    <row r="121" spans="1:16" ht="13.8" x14ac:dyDescent="0.25">
      <c r="B121" s="284" t="s">
        <v>40</v>
      </c>
      <c r="C121" s="477">
        <f>C39/2</f>
        <v>0</v>
      </c>
      <c r="D121" s="477">
        <f t="shared" ref="D121:H121" si="17">D39/2</f>
        <v>0</v>
      </c>
      <c r="E121" s="477">
        <f t="shared" si="17"/>
        <v>0</v>
      </c>
      <c r="F121" s="477">
        <f t="shared" si="17"/>
        <v>0</v>
      </c>
      <c r="G121" s="477">
        <f t="shared" si="17"/>
        <v>0</v>
      </c>
      <c r="H121" s="477">
        <f t="shared" si="17"/>
        <v>0</v>
      </c>
    </row>
    <row r="122" spans="1:16" ht="13.8" x14ac:dyDescent="0.25">
      <c r="B122" s="284" t="s">
        <v>32</v>
      </c>
      <c r="C122" s="477">
        <f t="shared" ref="C122:H126" si="18">C40/2</f>
        <v>0.5</v>
      </c>
      <c r="D122" s="477">
        <f t="shared" si="18"/>
        <v>0.5</v>
      </c>
      <c r="E122" s="477">
        <f t="shared" si="18"/>
        <v>0.5</v>
      </c>
      <c r="F122" s="477">
        <f t="shared" si="18"/>
        <v>0.5</v>
      </c>
      <c r="G122" s="477">
        <f t="shared" si="18"/>
        <v>0.5</v>
      </c>
      <c r="H122" s="477">
        <f t="shared" si="18"/>
        <v>0.5</v>
      </c>
    </row>
    <row r="123" spans="1:16" ht="13.8" x14ac:dyDescent="0.25">
      <c r="B123" s="284" t="s">
        <v>33</v>
      </c>
      <c r="C123" s="477">
        <f t="shared" si="18"/>
        <v>0</v>
      </c>
      <c r="D123" s="477">
        <f t="shared" si="18"/>
        <v>0</v>
      </c>
      <c r="E123" s="477">
        <f t="shared" si="18"/>
        <v>0</v>
      </c>
      <c r="F123" s="477">
        <f t="shared" si="18"/>
        <v>0.25</v>
      </c>
      <c r="G123" s="477">
        <f t="shared" si="18"/>
        <v>0.25</v>
      </c>
      <c r="H123" s="477">
        <f t="shared" si="18"/>
        <v>0.5</v>
      </c>
    </row>
    <row r="124" spans="1:16" ht="13.8" x14ac:dyDescent="0.25">
      <c r="B124" s="284" t="s">
        <v>263</v>
      </c>
      <c r="C124" s="477">
        <f t="shared" si="18"/>
        <v>0</v>
      </c>
      <c r="D124" s="477">
        <f t="shared" si="18"/>
        <v>0.5</v>
      </c>
      <c r="E124" s="477">
        <f t="shared" si="18"/>
        <v>0.5</v>
      </c>
      <c r="F124" s="477">
        <f t="shared" si="18"/>
        <v>1</v>
      </c>
      <c r="G124" s="477">
        <f t="shared" si="18"/>
        <v>1</v>
      </c>
      <c r="H124" s="477">
        <f t="shared" si="18"/>
        <v>1</v>
      </c>
    </row>
    <row r="125" spans="1:16" ht="13.8" x14ac:dyDescent="0.25">
      <c r="B125" s="284" t="s">
        <v>262</v>
      </c>
      <c r="C125" s="477">
        <f t="shared" si="18"/>
        <v>1</v>
      </c>
      <c r="D125" s="477">
        <f t="shared" si="18"/>
        <v>1.5</v>
      </c>
      <c r="E125" s="477">
        <f t="shared" si="18"/>
        <v>1.5</v>
      </c>
      <c r="F125" s="477">
        <f t="shared" si="18"/>
        <v>2</v>
      </c>
      <c r="G125" s="477">
        <f t="shared" si="18"/>
        <v>2</v>
      </c>
      <c r="H125" s="477">
        <f t="shared" si="18"/>
        <v>2</v>
      </c>
    </row>
    <row r="126" spans="1:16" ht="13.8" x14ac:dyDescent="0.25">
      <c r="B126" s="321" t="s">
        <v>261</v>
      </c>
      <c r="C126" s="476">
        <f t="shared" si="18"/>
        <v>0.5</v>
      </c>
      <c r="D126" s="476">
        <f t="shared" si="18"/>
        <v>1</v>
      </c>
      <c r="E126" s="476">
        <f t="shared" si="18"/>
        <v>1</v>
      </c>
      <c r="F126" s="476">
        <f t="shared" si="18"/>
        <v>1</v>
      </c>
      <c r="G126" s="476">
        <f t="shared" si="18"/>
        <v>1</v>
      </c>
      <c r="H126" s="476">
        <f t="shared" si="18"/>
        <v>1</v>
      </c>
    </row>
    <row r="127" spans="1:16" ht="20.25" customHeight="1" x14ac:dyDescent="0.25">
      <c r="B127" s="318" t="s">
        <v>260</v>
      </c>
      <c r="C127" s="316">
        <f t="shared" ref="C127:H127" si="19">SUM(C109:C126)</f>
        <v>5</v>
      </c>
      <c r="D127" s="316">
        <f t="shared" si="19"/>
        <v>10.75</v>
      </c>
      <c r="E127" s="316">
        <f t="shared" si="19"/>
        <v>14.5</v>
      </c>
      <c r="F127" s="316">
        <f t="shared" si="19"/>
        <v>20</v>
      </c>
      <c r="G127" s="317">
        <f t="shared" si="19"/>
        <v>21.5</v>
      </c>
      <c r="H127" s="316">
        <f t="shared" si="19"/>
        <v>23</v>
      </c>
    </row>
    <row r="128" spans="1:16" ht="20.25" customHeight="1" x14ac:dyDescent="0.25">
      <c r="B128" s="315"/>
      <c r="C128" s="314"/>
      <c r="D128" s="314"/>
      <c r="E128" s="314"/>
      <c r="F128" s="314"/>
      <c r="G128" s="314"/>
      <c r="H128" s="314"/>
    </row>
    <row r="129" spans="2:10" ht="20.25" customHeight="1" x14ac:dyDescent="0.25">
      <c r="B129" s="313" t="s">
        <v>259</v>
      </c>
      <c r="C129" s="312">
        <f t="shared" ref="C129:H129" si="20">+C127+C106+C85+C64</f>
        <v>21</v>
      </c>
      <c r="D129" s="312">
        <f t="shared" si="20"/>
        <v>32.5</v>
      </c>
      <c r="E129" s="312">
        <f t="shared" si="20"/>
        <v>41</v>
      </c>
      <c r="F129" s="312">
        <f t="shared" si="20"/>
        <v>49</v>
      </c>
      <c r="G129" s="312">
        <f t="shared" si="20"/>
        <v>51</v>
      </c>
      <c r="H129" s="312">
        <f t="shared" si="20"/>
        <v>53</v>
      </c>
    </row>
    <row r="130" spans="2:10" ht="14.4" x14ac:dyDescent="0.25">
      <c r="B130" s="311"/>
      <c r="C130" s="311"/>
      <c r="D130" s="311"/>
      <c r="E130" s="311"/>
      <c r="F130" s="311"/>
      <c r="G130" s="311"/>
      <c r="H130" s="311"/>
      <c r="I130" s="311"/>
      <c r="J130" s="311"/>
    </row>
    <row r="131" spans="2:10" x14ac:dyDescent="0.25">
      <c r="B131" s="310"/>
    </row>
    <row r="132" spans="2:10" x14ac:dyDescent="0.25">
      <c r="B132" s="308"/>
    </row>
    <row r="137" spans="2:10" x14ac:dyDescent="0.25">
      <c r="C137" s="309">
        <f t="shared" ref="C137:H137" si="21">C129-C64</f>
        <v>12</v>
      </c>
      <c r="D137" s="309">
        <f t="shared" si="21"/>
        <v>23.5</v>
      </c>
      <c r="E137" s="309">
        <f t="shared" si="21"/>
        <v>32</v>
      </c>
      <c r="F137" s="309">
        <f t="shared" si="21"/>
        <v>40</v>
      </c>
      <c r="G137" s="309">
        <f t="shared" si="21"/>
        <v>42</v>
      </c>
      <c r="H137" s="309">
        <f t="shared" si="21"/>
        <v>44</v>
      </c>
    </row>
    <row r="138" spans="2:10" x14ac:dyDescent="0.25">
      <c r="C138" s="276" t="b">
        <f t="shared" ref="C138:H138" si="22">C137=C45</f>
        <v>1</v>
      </c>
      <c r="D138" s="276" t="b">
        <f t="shared" si="22"/>
        <v>1</v>
      </c>
      <c r="E138" s="276" t="b">
        <f t="shared" si="22"/>
        <v>1</v>
      </c>
      <c r="F138" s="276" t="b">
        <f t="shared" si="22"/>
        <v>1</v>
      </c>
      <c r="G138" s="276" t="b">
        <f t="shared" si="22"/>
        <v>1</v>
      </c>
      <c r="H138" s="276" t="b">
        <f t="shared" si="22"/>
        <v>1</v>
      </c>
    </row>
  </sheetData>
  <mergeCells count="86">
    <mergeCell ref="F115:F116"/>
    <mergeCell ref="G115:G116"/>
    <mergeCell ref="H115:H116"/>
    <mergeCell ref="C111:C112"/>
    <mergeCell ref="C113:C114"/>
    <mergeCell ref="C115:C116"/>
    <mergeCell ref="F111:F112"/>
    <mergeCell ref="G111:G112"/>
    <mergeCell ref="H111:H112"/>
    <mergeCell ref="D113:D114"/>
    <mergeCell ref="F113:F114"/>
    <mergeCell ref="G113:G114"/>
    <mergeCell ref="H113:H114"/>
    <mergeCell ref="D111:D112"/>
    <mergeCell ref="E111:E112"/>
    <mergeCell ref="F94:F95"/>
    <mergeCell ref="G94:G95"/>
    <mergeCell ref="H94:H95"/>
    <mergeCell ref="C92:C93"/>
    <mergeCell ref="H90:H91"/>
    <mergeCell ref="C90:C91"/>
    <mergeCell ref="D90:D91"/>
    <mergeCell ref="E90:E91"/>
    <mergeCell ref="G69:G70"/>
    <mergeCell ref="G90:G91"/>
    <mergeCell ref="F92:F93"/>
    <mergeCell ref="G92:G93"/>
    <mergeCell ref="H92:H93"/>
    <mergeCell ref="H69:H70"/>
    <mergeCell ref="H73:H74"/>
    <mergeCell ref="H71:H72"/>
    <mergeCell ref="F69:F70"/>
    <mergeCell ref="C71:C72"/>
    <mergeCell ref="D71:D72"/>
    <mergeCell ref="E71:E72"/>
    <mergeCell ref="F73:F74"/>
    <mergeCell ref="G73:G74"/>
    <mergeCell ref="G71:G72"/>
    <mergeCell ref="B92:B93"/>
    <mergeCell ref="D33:D34"/>
    <mergeCell ref="D115:D116"/>
    <mergeCell ref="E115:E116"/>
    <mergeCell ref="B94:B95"/>
    <mergeCell ref="B111:B112"/>
    <mergeCell ref="B113:B114"/>
    <mergeCell ref="B115:B116"/>
    <mergeCell ref="D92:D93"/>
    <mergeCell ref="E92:E93"/>
    <mergeCell ref="E113:E114"/>
    <mergeCell ref="C94:C95"/>
    <mergeCell ref="D94:D95"/>
    <mergeCell ref="E94:E95"/>
    <mergeCell ref="C69:C70"/>
    <mergeCell ref="D69:D70"/>
    <mergeCell ref="F29:F30"/>
    <mergeCell ref="B69:B70"/>
    <mergeCell ref="B71:B72"/>
    <mergeCell ref="B73:B74"/>
    <mergeCell ref="B90:B91"/>
    <mergeCell ref="F71:F72"/>
    <mergeCell ref="F90:F91"/>
    <mergeCell ref="B31:B32"/>
    <mergeCell ref="B33:B34"/>
    <mergeCell ref="C29:C30"/>
    <mergeCell ref="D29:D30"/>
    <mergeCell ref="E29:E30"/>
    <mergeCell ref="E69:E70"/>
    <mergeCell ref="C73:C74"/>
    <mergeCell ref="D73:D74"/>
    <mergeCell ref="E73:E74"/>
    <mergeCell ref="G29:G30"/>
    <mergeCell ref="C33:C34"/>
    <mergeCell ref="B26:H26"/>
    <mergeCell ref="B15:H15"/>
    <mergeCell ref="H33:H34"/>
    <mergeCell ref="H29:H30"/>
    <mergeCell ref="C31:C32"/>
    <mergeCell ref="D31:D32"/>
    <mergeCell ref="E31:E32"/>
    <mergeCell ref="F31:F32"/>
    <mergeCell ref="G31:G32"/>
    <mergeCell ref="H31:H32"/>
    <mergeCell ref="E33:E34"/>
    <mergeCell ref="F33:F34"/>
    <mergeCell ref="G33:G34"/>
    <mergeCell ref="B29:B30"/>
  </mergeCells>
  <pageMargins left="0.35" right="0.25" top="0.32" bottom="0.5" header="0.32" footer="0.3"/>
  <pageSetup scale="92" orientation="portrait" r:id="rId1"/>
  <headerFooter alignWithMargins="0">
    <oddFooter>&amp;L&amp;7&amp;D  at &amp;T Mike 702.486.8879&amp;C&amp;7Page &amp;P of &amp;N&amp;R&amp;7&amp;F  &amp;A</oddFooter>
  </headerFooter>
  <rowBreaks count="2" manualBreakCount="2">
    <brk id="53" max="8" man="1"/>
    <brk id="106" max="8" man="1"/>
  </rowBreaks>
  <ignoredErrors>
    <ignoredError sqref="C106:H108 C85:H87 C54:H63 C45:H47 C50:H50 C52:H52 C65:H66 D64:H64 C127:H134 C112 C116" formulaRange="1"/>
  </ignoredErrors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2:I35"/>
  <sheetViews>
    <sheetView zoomScale="75" zoomScaleNormal="75" workbookViewId="0">
      <selection activeCell="C32" sqref="C32"/>
    </sheetView>
  </sheetViews>
  <sheetFormatPr defaultColWidth="8.88671875" defaultRowHeight="13.8" x14ac:dyDescent="0.25"/>
  <cols>
    <col min="1" max="1" width="8.88671875" style="380"/>
    <col min="2" max="2" width="49.5546875" style="380" bestFit="1" customWidth="1"/>
    <col min="3" max="3" width="14" style="380" bestFit="1" customWidth="1"/>
    <col min="4" max="7" width="15.33203125" style="380" bestFit="1" customWidth="1"/>
    <col min="8" max="8" width="16.21875" style="380" bestFit="1" customWidth="1"/>
    <col min="9" max="16384" width="8.88671875" style="380"/>
  </cols>
  <sheetData>
    <row r="2" spans="2:9" x14ac:dyDescent="0.25">
      <c r="C2" s="381"/>
    </row>
    <row r="3" spans="2:9" x14ac:dyDescent="0.25">
      <c r="B3" s="572" t="s">
        <v>377</v>
      </c>
      <c r="C3" s="572"/>
      <c r="D3" s="572"/>
      <c r="E3" s="572"/>
      <c r="F3" s="572"/>
      <c r="G3" s="572"/>
      <c r="H3" s="572"/>
    </row>
    <row r="4" spans="2:9" x14ac:dyDescent="0.25">
      <c r="B4" s="382" t="s">
        <v>316</v>
      </c>
      <c r="C4" s="382" t="str">
        <f>'6-Year (auto-populated)'!D1</f>
        <v>22-23</v>
      </c>
      <c r="D4" s="447" t="str">
        <f>'6-Year (auto-populated)'!E1</f>
        <v>23-24</v>
      </c>
      <c r="E4" s="447" t="str">
        <f>'6-Year (auto-populated)'!F1</f>
        <v>24-25</v>
      </c>
      <c r="F4" s="447" t="str">
        <f>'6-Year (auto-populated)'!G1</f>
        <v>25-26</v>
      </c>
      <c r="G4" s="447" t="str">
        <f>'6-Year (auto-populated)'!H1</f>
        <v>26-27</v>
      </c>
      <c r="H4" s="447" t="str">
        <f>'6-Year (auto-populated)'!I1</f>
        <v>27-28</v>
      </c>
      <c r="I4" s="381"/>
    </row>
    <row r="5" spans="2:9" x14ac:dyDescent="0.25">
      <c r="B5" s="383" t="s">
        <v>30</v>
      </c>
      <c r="C5" s="384">
        <f>'6-Year (auto-populated)'!D41</f>
        <v>1</v>
      </c>
      <c r="D5" s="384">
        <f>'6-Year (auto-populated)'!E41</f>
        <v>1</v>
      </c>
      <c r="E5" s="384">
        <f>'6-Year (auto-populated)'!F41</f>
        <v>1</v>
      </c>
      <c r="F5" s="384">
        <f>'6-Year (auto-populated)'!G41</f>
        <v>1</v>
      </c>
      <c r="G5" s="384">
        <f>'6-Year (auto-populated)'!H41</f>
        <v>1</v>
      </c>
      <c r="H5" s="384">
        <f>'6-Year (auto-populated)'!I41</f>
        <v>1</v>
      </c>
    </row>
    <row r="6" spans="2:9" x14ac:dyDescent="0.25">
      <c r="B6" s="383" t="s">
        <v>31</v>
      </c>
      <c r="C6" s="384">
        <f>'6-Year (auto-populated)'!D42</f>
        <v>0</v>
      </c>
      <c r="D6" s="384">
        <f>'6-Year (auto-populated)'!E42</f>
        <v>0</v>
      </c>
      <c r="E6" s="384">
        <f>'6-Year (auto-populated)'!F42</f>
        <v>1</v>
      </c>
      <c r="F6" s="384">
        <f>'6-Year (auto-populated)'!G42</f>
        <v>1</v>
      </c>
      <c r="G6" s="384">
        <f>'6-Year (auto-populated)'!H42</f>
        <v>1</v>
      </c>
      <c r="H6" s="384">
        <f>'6-Year (auto-populated)'!I42</f>
        <v>1</v>
      </c>
    </row>
    <row r="7" spans="2:9" x14ac:dyDescent="0.25">
      <c r="B7" s="383" t="s">
        <v>317</v>
      </c>
      <c r="C7" s="384">
        <f>'6-Year (auto-populated)'!D29</f>
        <v>4</v>
      </c>
      <c r="D7" s="384">
        <f>'6-Year (auto-populated)'!E29</f>
        <v>10</v>
      </c>
      <c r="E7" s="384">
        <f>'6-Year (auto-populated)'!F29</f>
        <v>15</v>
      </c>
      <c r="F7" s="384">
        <f>'6-Year (auto-populated)'!G29</f>
        <v>18</v>
      </c>
      <c r="G7" s="384">
        <f>'6-Year (auto-populated)'!H29</f>
        <v>19</v>
      </c>
      <c r="H7" s="384">
        <f>'6-Year (auto-populated)'!I29</f>
        <v>20</v>
      </c>
    </row>
    <row r="8" spans="2:9" x14ac:dyDescent="0.25">
      <c r="B8" s="383" t="s">
        <v>318</v>
      </c>
      <c r="C8" s="384">
        <f>SUM('6-Year (auto-populated)'!D31:D36)</f>
        <v>0</v>
      </c>
      <c r="D8" s="384">
        <f>SUM('6-Year (auto-populated)'!E31:E36)</f>
        <v>1</v>
      </c>
      <c r="E8" s="384">
        <f>SUM('6-Year (auto-populated)'!F31:F36)</f>
        <v>2.5</v>
      </c>
      <c r="F8" s="384">
        <f>SUM('6-Year (auto-populated)'!G31:G36)</f>
        <v>3.5</v>
      </c>
      <c r="G8" s="384">
        <f>SUM('6-Year (auto-populated)'!H31:H36)</f>
        <v>4.5</v>
      </c>
      <c r="H8" s="384">
        <f>SUM('6-Year (auto-populated)'!I31:I36)</f>
        <v>4.5</v>
      </c>
    </row>
    <row r="9" spans="2:9" x14ac:dyDescent="0.25">
      <c r="B9" s="383" t="s">
        <v>264</v>
      </c>
      <c r="C9" s="385">
        <f>'6-Year (auto-populated)'!D30</f>
        <v>1</v>
      </c>
      <c r="D9" s="385">
        <f>'6-Year (auto-populated)'!E30</f>
        <v>1.5</v>
      </c>
      <c r="E9" s="385">
        <f>'6-Year (auto-populated)'!F30</f>
        <v>2.5</v>
      </c>
      <c r="F9" s="385">
        <f>'6-Year (auto-populated)'!G30</f>
        <v>3</v>
      </c>
      <c r="G9" s="385">
        <f>'6-Year (auto-populated)'!H30</f>
        <v>3</v>
      </c>
      <c r="H9" s="385">
        <f>'6-Year (auto-populated)'!I30</f>
        <v>3.5</v>
      </c>
    </row>
    <row r="10" spans="2:9" x14ac:dyDescent="0.25">
      <c r="B10" s="383" t="s">
        <v>417</v>
      </c>
      <c r="C10" s="385">
        <f>'6-Year (auto-populated)'!D58</f>
        <v>1</v>
      </c>
      <c r="D10" s="385">
        <f>'6-Year (auto-populated)'!E58</f>
        <v>1</v>
      </c>
      <c r="E10" s="385">
        <f>'6-Year (auto-populated)'!F58</f>
        <v>1</v>
      </c>
      <c r="F10" s="385">
        <f>'6-Year (auto-populated)'!G58</f>
        <v>1</v>
      </c>
      <c r="G10" s="385">
        <f>'6-Year (auto-populated)'!H58</f>
        <v>1</v>
      </c>
      <c r="H10" s="385">
        <f>'6-Year (auto-populated)'!I58</f>
        <v>1</v>
      </c>
    </row>
    <row r="11" spans="2:9" x14ac:dyDescent="0.25">
      <c r="B11" s="383" t="s">
        <v>415</v>
      </c>
      <c r="C11" s="384">
        <f>'6-Year (auto-populated)'!D45</f>
        <v>0</v>
      </c>
      <c r="D11" s="384">
        <f>'6-Year (auto-populated)'!E45</f>
        <v>1</v>
      </c>
      <c r="E11" s="384">
        <f>'6-Year (auto-populated)'!F45</f>
        <v>0</v>
      </c>
      <c r="F11" s="384">
        <f>'6-Year (auto-populated)'!G45</f>
        <v>1</v>
      </c>
      <c r="G11" s="384">
        <f>'6-Year (auto-populated)'!H45</f>
        <v>1</v>
      </c>
      <c r="H11" s="384">
        <f>'6-Year (auto-populated)'!I45</f>
        <v>1</v>
      </c>
    </row>
    <row r="12" spans="2:9" x14ac:dyDescent="0.25">
      <c r="B12" s="383" t="s">
        <v>429</v>
      </c>
      <c r="C12" s="384">
        <f>'6-Year (auto-populated)'!D43+'6-Year (auto-populated)'!D44</f>
        <v>1</v>
      </c>
      <c r="D12" s="384">
        <f>'6-Year (auto-populated)'!E43+'6-Year (auto-populated)'!E44</f>
        <v>1</v>
      </c>
      <c r="E12" s="384">
        <f>'6-Year (auto-populated)'!F43+'6-Year (auto-populated)'!F44</f>
        <v>2</v>
      </c>
      <c r="F12" s="384">
        <f>'6-Year (auto-populated)'!G43+'6-Year (auto-populated)'!G44</f>
        <v>2</v>
      </c>
      <c r="G12" s="384">
        <f>'6-Year (auto-populated)'!H43+'6-Year (auto-populated)'!H44</f>
        <v>2</v>
      </c>
      <c r="H12" s="384">
        <f>'6-Year (auto-populated)'!I43+'6-Year (auto-populated)'!I44</f>
        <v>2</v>
      </c>
    </row>
    <row r="13" spans="2:9" x14ac:dyDescent="0.25">
      <c r="B13" s="383" t="s">
        <v>32</v>
      </c>
      <c r="C13" s="384">
        <f>'6-Year (auto-populated)'!D46</f>
        <v>1</v>
      </c>
      <c r="D13" s="384">
        <f>'6-Year (auto-populated)'!E46</f>
        <v>1</v>
      </c>
      <c r="E13" s="384">
        <f>'6-Year (auto-populated)'!F46</f>
        <v>1</v>
      </c>
      <c r="F13" s="384">
        <f>'6-Year (auto-populated)'!G46</f>
        <v>1</v>
      </c>
      <c r="G13" s="384">
        <f>'6-Year (auto-populated)'!H46</f>
        <v>1</v>
      </c>
      <c r="H13" s="384">
        <f>'6-Year (auto-populated)'!I46</f>
        <v>1</v>
      </c>
    </row>
    <row r="14" spans="2:9" x14ac:dyDescent="0.25">
      <c r="B14" s="383" t="s">
        <v>33</v>
      </c>
      <c r="C14" s="384">
        <f>'6-Year (auto-populated)'!D47</f>
        <v>0</v>
      </c>
      <c r="D14" s="384">
        <f>'6-Year (auto-populated)'!E47</f>
        <v>0</v>
      </c>
      <c r="E14" s="384">
        <f>'6-Year (auto-populated)'!F47</f>
        <v>0</v>
      </c>
      <c r="F14" s="384">
        <f>'6-Year (auto-populated)'!G47</f>
        <v>0.5</v>
      </c>
      <c r="G14" s="384">
        <f>'6-Year (auto-populated)'!H47</f>
        <v>0.5</v>
      </c>
      <c r="H14" s="384">
        <f>'6-Year (auto-populated)'!I47</f>
        <v>1</v>
      </c>
    </row>
    <row r="15" spans="2:9" x14ac:dyDescent="0.25">
      <c r="B15" s="383" t="s">
        <v>319</v>
      </c>
      <c r="C15" s="384">
        <f>'6-Year (auto-populated)'!D48</f>
        <v>0</v>
      </c>
      <c r="D15" s="384">
        <f>'6-Year (auto-populated)'!E48</f>
        <v>0</v>
      </c>
      <c r="E15" s="384">
        <f>'6-Year (auto-populated)'!F48</f>
        <v>0</v>
      </c>
      <c r="F15" s="384">
        <f>'6-Year (auto-populated)'!G48</f>
        <v>1</v>
      </c>
      <c r="G15" s="384">
        <f>'6-Year (auto-populated)'!H48</f>
        <v>1</v>
      </c>
      <c r="H15" s="384">
        <f>'6-Year (auto-populated)'!I48</f>
        <v>1</v>
      </c>
    </row>
    <row r="16" spans="2:9" x14ac:dyDescent="0.25">
      <c r="B16" s="383" t="s">
        <v>35</v>
      </c>
      <c r="C16" s="384">
        <f>'6-Year (auto-populated)'!D49</f>
        <v>0</v>
      </c>
      <c r="D16" s="384">
        <f>'6-Year (auto-populated)'!E49</f>
        <v>1</v>
      </c>
      <c r="E16" s="384">
        <f>'6-Year (auto-populated)'!F49</f>
        <v>1</v>
      </c>
      <c r="F16" s="384">
        <f>'6-Year (auto-populated)'!G49</f>
        <v>1</v>
      </c>
      <c r="G16" s="384">
        <f>'6-Year (auto-populated)'!H49</f>
        <v>1</v>
      </c>
      <c r="H16" s="384">
        <f>'6-Year (auto-populated)'!I49</f>
        <v>1</v>
      </c>
    </row>
    <row r="17" spans="2:8" x14ac:dyDescent="0.25">
      <c r="B17" s="383" t="s">
        <v>426</v>
      </c>
      <c r="C17" s="384">
        <f>'6-Year (auto-populated)'!D50</f>
        <v>2</v>
      </c>
      <c r="D17" s="384">
        <f>'6-Year (auto-populated)'!E50</f>
        <v>3</v>
      </c>
      <c r="E17" s="384">
        <f>'6-Year (auto-populated)'!F50</f>
        <v>3</v>
      </c>
      <c r="F17" s="384">
        <f>'6-Year (auto-populated)'!G50</f>
        <v>4</v>
      </c>
      <c r="G17" s="384">
        <f>'6-Year (auto-populated)'!H50</f>
        <v>4</v>
      </c>
      <c r="H17" s="384">
        <f>'6-Year (auto-populated)'!I50</f>
        <v>4</v>
      </c>
    </row>
    <row r="18" spans="2:8" x14ac:dyDescent="0.25">
      <c r="B18" s="383" t="s">
        <v>36</v>
      </c>
      <c r="C18" s="384">
        <f>'6-Year (auto-populated)'!D51</f>
        <v>0</v>
      </c>
      <c r="D18" s="384">
        <f>'6-Year (auto-populated)'!E51</f>
        <v>1</v>
      </c>
      <c r="E18" s="384">
        <f>'6-Year (auto-populated)'!F51</f>
        <v>1</v>
      </c>
      <c r="F18" s="384">
        <f>'6-Year (auto-populated)'!G51</f>
        <v>1</v>
      </c>
      <c r="G18" s="384">
        <f>'6-Year (auto-populated)'!H51</f>
        <v>1</v>
      </c>
      <c r="H18" s="384">
        <f>'6-Year (auto-populated)'!I51</f>
        <v>1</v>
      </c>
    </row>
    <row r="19" spans="2:8" hidden="1" x14ac:dyDescent="0.25">
      <c r="B19" s="383" t="s">
        <v>326</v>
      </c>
      <c r="C19" s="384">
        <f>'6-Year (auto-populated)'!D57</f>
        <v>0</v>
      </c>
      <c r="D19" s="384">
        <f>'6-Year (auto-populated)'!E57</f>
        <v>0</v>
      </c>
      <c r="E19" s="384">
        <f>'6-Year (auto-populated)'!F57</f>
        <v>0</v>
      </c>
      <c r="F19" s="384">
        <f>'6-Year (auto-populated)'!G57</f>
        <v>0</v>
      </c>
      <c r="G19" s="384">
        <f>'6-Year (auto-populated)'!H57</f>
        <v>0</v>
      </c>
      <c r="H19" s="384">
        <f>'6-Year (auto-populated)'!I57</f>
        <v>0</v>
      </c>
    </row>
    <row r="20" spans="2:8" x14ac:dyDescent="0.25">
      <c r="B20" s="383" t="s">
        <v>193</v>
      </c>
      <c r="C20" s="384">
        <f>'6-Year (auto-populated)'!D52</f>
        <v>1</v>
      </c>
      <c r="D20" s="384">
        <f>'6-Year (auto-populated)'!E52</f>
        <v>1</v>
      </c>
      <c r="E20" s="384">
        <f>'6-Year (auto-populated)'!F52</f>
        <v>1</v>
      </c>
      <c r="F20" s="384">
        <f>'6-Year (auto-populated)'!G52</f>
        <v>1</v>
      </c>
      <c r="G20" s="384">
        <f>'6-Year (auto-populated)'!H52</f>
        <v>1</v>
      </c>
      <c r="H20" s="384">
        <f>'6-Year (auto-populated)'!I52</f>
        <v>1</v>
      </c>
    </row>
    <row r="21" spans="2:8" x14ac:dyDescent="0.25">
      <c r="B21" s="386" t="s">
        <v>320</v>
      </c>
      <c r="C21" s="387">
        <f t="shared" ref="C21:H21" si="0">SUM(C5:C20)</f>
        <v>12</v>
      </c>
      <c r="D21" s="387">
        <f t="shared" si="0"/>
        <v>23.5</v>
      </c>
      <c r="E21" s="387">
        <f t="shared" si="0"/>
        <v>32</v>
      </c>
      <c r="F21" s="387">
        <f t="shared" si="0"/>
        <v>40</v>
      </c>
      <c r="G21" s="387">
        <f t="shared" si="0"/>
        <v>42</v>
      </c>
      <c r="H21" s="387">
        <f t="shared" si="0"/>
        <v>44</v>
      </c>
    </row>
    <row r="22" spans="2:8" x14ac:dyDescent="0.25">
      <c r="B22" s="386" t="s">
        <v>321</v>
      </c>
      <c r="C22" s="388">
        <f>'6-Year (auto-populated)'!D128</f>
        <v>569040</v>
      </c>
      <c r="D22" s="388">
        <f>'6-Year (auto-populated)'!E128</f>
        <v>1096950</v>
      </c>
      <c r="E22" s="388">
        <f>'6-Year (auto-populated)'!F128</f>
        <v>1575957.2</v>
      </c>
      <c r="F22" s="388">
        <f>'6-Year (auto-populated)'!G128</f>
        <v>1967195.058</v>
      </c>
      <c r="G22" s="388">
        <f>'6-Year (auto-populated)'!H128</f>
        <v>2114827.6218699999</v>
      </c>
      <c r="H22" s="388">
        <f>'6-Year (auto-populated)'!I128</f>
        <v>2256854.0361980498</v>
      </c>
    </row>
    <row r="25" spans="2:8" x14ac:dyDescent="0.25">
      <c r="C25" s="380" t="b">
        <f>C21='6-Year (auto-populated)'!D64</f>
        <v>1</v>
      </c>
      <c r="D25" s="380" t="b">
        <f>D21='6-Year (auto-populated)'!E64</f>
        <v>1</v>
      </c>
      <c r="E25" s="380" t="b">
        <f>E21='6-Year (auto-populated)'!F64</f>
        <v>1</v>
      </c>
      <c r="F25" s="380" t="b">
        <f>F21='6-Year (auto-populated)'!G64</f>
        <v>1</v>
      </c>
      <c r="G25" s="380" t="b">
        <f>G21='6-Year (auto-populated)'!H64</f>
        <v>1</v>
      </c>
      <c r="H25" s="380" t="b">
        <f>H21='6-Year (auto-populated)'!I64</f>
        <v>1</v>
      </c>
    </row>
    <row r="26" spans="2:8" x14ac:dyDescent="0.25">
      <c r="C26" s="380" t="b">
        <f>C22='6-Year (auto-populated)'!D128</f>
        <v>1</v>
      </c>
      <c r="D26" s="380" t="b">
        <f>D22='6-Year (auto-populated)'!E128</f>
        <v>1</v>
      </c>
      <c r="E26" s="380" t="b">
        <f>E22='6-Year (auto-populated)'!F128</f>
        <v>1</v>
      </c>
      <c r="F26" s="380" t="b">
        <f>F22='6-Year (auto-populated)'!G128</f>
        <v>1</v>
      </c>
      <c r="G26" s="380" t="b">
        <f>G22='6-Year (auto-populated)'!H128</f>
        <v>1</v>
      </c>
      <c r="H26" s="380" t="b">
        <f>H22='6-Year (auto-populated)'!I128</f>
        <v>1</v>
      </c>
    </row>
    <row r="29" spans="2:8" x14ac:dyDescent="0.25">
      <c r="B29" s="389"/>
      <c r="C29" s="390" t="str">
        <f>'6-Year (auto-populated)'!D1</f>
        <v>22-23</v>
      </c>
      <c r="D29" s="390" t="str">
        <f>'6-Year (auto-populated)'!E1</f>
        <v>23-24</v>
      </c>
      <c r="E29" s="390" t="str">
        <f>'6-Year (auto-populated)'!F1</f>
        <v>24-25</v>
      </c>
      <c r="F29" s="390" t="str">
        <f>'6-Year (auto-populated)'!G1</f>
        <v>25-26</v>
      </c>
      <c r="G29" s="390" t="str">
        <f>'6-Year (auto-populated)'!H1</f>
        <v>26-27</v>
      </c>
      <c r="H29" s="390" t="str">
        <f>'6-Year (auto-populated)'!I1</f>
        <v>27-28</v>
      </c>
    </row>
    <row r="30" spans="2:8" x14ac:dyDescent="0.25">
      <c r="B30" s="383" t="s">
        <v>324</v>
      </c>
      <c r="C30" s="391">
        <f>'6-Year (auto-populated)'!D128</f>
        <v>569040</v>
      </c>
      <c r="D30" s="391">
        <f>'6-Year (auto-populated)'!E128</f>
        <v>1096950</v>
      </c>
      <c r="E30" s="391">
        <f>'6-Year (auto-populated)'!F128</f>
        <v>1575957.2</v>
      </c>
      <c r="F30" s="391">
        <f>'6-Year (auto-populated)'!G128</f>
        <v>1967195.058</v>
      </c>
      <c r="G30" s="391">
        <f>'6-Year (auto-populated)'!H128</f>
        <v>2114827.6218699999</v>
      </c>
      <c r="H30" s="391">
        <f>'6-Year (auto-populated)'!I128</f>
        <v>2256854.0361980498</v>
      </c>
    </row>
    <row r="31" spans="2:8" x14ac:dyDescent="0.25">
      <c r="B31" s="383" t="s">
        <v>322</v>
      </c>
      <c r="C31" s="392">
        <f>SUM('6-Year (auto-populated)'!D129:D130)/'6-Year (auto-populated)'!D128</f>
        <v>0.46609869253479552</v>
      </c>
      <c r="D31" s="392">
        <f>SUM('6-Year (auto-populated)'!E129:E130)/'6-Year (auto-populated)'!E128</f>
        <v>0.47372576234103647</v>
      </c>
      <c r="E31" s="392">
        <f>SUM('6-Year (auto-populated)'!F129:F130)/'6-Year (auto-populated)'!F128</f>
        <v>0.4840409593610791</v>
      </c>
      <c r="F31" s="392">
        <f>SUM('6-Year (auto-populated)'!G129:G130)/'6-Year (auto-populated)'!G128</f>
        <v>0.48967742784203361</v>
      </c>
      <c r="G31" s="392">
        <f>SUM('6-Year (auto-populated)'!H129:H130)/'6-Year (auto-populated)'!H128</f>
        <v>0.4975</v>
      </c>
      <c r="H31" s="392">
        <f>SUM('6-Year (auto-populated)'!I129:I130)/'6-Year (auto-populated)'!I128</f>
        <v>0.50249999999999995</v>
      </c>
    </row>
    <row r="32" spans="2:8" x14ac:dyDescent="0.25">
      <c r="B32" s="386" t="s">
        <v>323</v>
      </c>
      <c r="C32" s="393">
        <f t="shared" ref="C32:H32" si="1">C30*C31</f>
        <v>265228.80000000005</v>
      </c>
      <c r="D32" s="393">
        <f t="shared" si="1"/>
        <v>519653.47499999998</v>
      </c>
      <c r="E32" s="393">
        <f t="shared" si="1"/>
        <v>762827.83499999996</v>
      </c>
      <c r="F32" s="393">
        <f t="shared" si="1"/>
        <v>963291.01606500009</v>
      </c>
      <c r="G32" s="393">
        <f t="shared" si="1"/>
        <v>1052126.7418803249</v>
      </c>
      <c r="H32" s="393">
        <f t="shared" si="1"/>
        <v>1134069.1531895199</v>
      </c>
    </row>
    <row r="35" spans="3:8" x14ac:dyDescent="0.25">
      <c r="C35" s="380" t="b">
        <f>C32=SUM('6-Year (auto-populated)'!D129:D130)</f>
        <v>1</v>
      </c>
      <c r="D35" s="380" t="b">
        <f>D32=SUM('6-Year (auto-populated)'!E129:E130)</f>
        <v>1</v>
      </c>
      <c r="E35" s="380" t="b">
        <f>E32=SUM('6-Year (auto-populated)'!F129:F130)</f>
        <v>1</v>
      </c>
      <c r="F35" s="380" t="b">
        <f>F32=SUM('6-Year (auto-populated)'!G129:G130)</f>
        <v>1</v>
      </c>
      <c r="G35" s="380" t="b">
        <f>G32=SUM('6-Year (auto-populated)'!H129:H130)</f>
        <v>1</v>
      </c>
      <c r="H35" s="380" t="b">
        <f>H32=SUM('6-Year (auto-populated)'!I129:I130)</f>
        <v>1</v>
      </c>
    </row>
  </sheetData>
  <mergeCells count="1">
    <mergeCell ref="B3:H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Q107"/>
  <sheetViews>
    <sheetView zoomScale="75" zoomScaleNormal="75" workbookViewId="0">
      <selection activeCell="F14" sqref="F14"/>
    </sheetView>
  </sheetViews>
  <sheetFormatPr defaultRowHeight="14.4" x14ac:dyDescent="0.3"/>
  <cols>
    <col min="1" max="1" width="48.6640625" customWidth="1"/>
    <col min="2" max="2" width="15.77734375" style="125" bestFit="1" customWidth="1"/>
    <col min="3" max="3" width="13.77734375" style="125" customWidth="1"/>
    <col min="4" max="4" width="19" style="125" customWidth="1"/>
    <col min="5" max="16" width="13.77734375" style="125" customWidth="1"/>
  </cols>
  <sheetData>
    <row r="1" spans="1:16" x14ac:dyDescent="0.3">
      <c r="A1" s="2" t="str">
        <f>'YWLA Year 1 Budget'!B1</f>
        <v xml:space="preserve">Young Women's Leadership Academy </v>
      </c>
      <c r="B1" s="2" t="str">
        <f>'YWLA Year 1 Budget'!C1</f>
        <v>22-23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15" thickBot="1" x14ac:dyDescent="0.35">
      <c r="A2" s="123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</row>
    <row r="3" spans="1:16" x14ac:dyDescent="0.3">
      <c r="A3" s="200" t="s">
        <v>204</v>
      </c>
      <c r="B3" s="199" t="s">
        <v>188</v>
      </c>
      <c r="C3" s="209" t="s">
        <v>187</v>
      </c>
      <c r="D3" s="198" t="s">
        <v>158</v>
      </c>
      <c r="E3" s="209" t="s">
        <v>186</v>
      </c>
      <c r="F3" s="208" t="s">
        <v>185</v>
      </c>
      <c r="G3" s="208" t="s">
        <v>184</v>
      </c>
      <c r="H3" s="208" t="s">
        <v>183</v>
      </c>
      <c r="I3" s="208" t="s">
        <v>182</v>
      </c>
      <c r="J3" s="208" t="s">
        <v>181</v>
      </c>
      <c r="K3" s="208" t="s">
        <v>180</v>
      </c>
      <c r="L3" s="208" t="s">
        <v>179</v>
      </c>
      <c r="M3" s="208" t="s">
        <v>178</v>
      </c>
      <c r="N3" s="208" t="s">
        <v>177</v>
      </c>
      <c r="O3" s="208" t="s">
        <v>176</v>
      </c>
      <c r="P3" s="207" t="s">
        <v>175</v>
      </c>
    </row>
    <row r="4" spans="1:16" x14ac:dyDescent="0.3">
      <c r="A4" s="413" t="s">
        <v>339</v>
      </c>
      <c r="B4" s="157">
        <f>'YWLA Year 1 Budget'!C71</f>
        <v>802249.8</v>
      </c>
      <c r="C4" s="186">
        <f t="shared" ref="C4:C14" si="0">D4-B4</f>
        <v>0</v>
      </c>
      <c r="D4" s="185">
        <f t="shared" ref="D4:D15" si="1">SUM(E4:P4)</f>
        <v>802249.80000000016</v>
      </c>
      <c r="E4" s="184">
        <f>B4/12</f>
        <v>66854.150000000009</v>
      </c>
      <c r="F4" s="79">
        <f>E4</f>
        <v>66854.150000000009</v>
      </c>
      <c r="G4" s="79">
        <f t="shared" ref="G4:P4" si="2">F4</f>
        <v>66854.150000000009</v>
      </c>
      <c r="H4" s="79">
        <f t="shared" si="2"/>
        <v>66854.150000000009</v>
      </c>
      <c r="I4" s="79">
        <f t="shared" si="2"/>
        <v>66854.150000000009</v>
      </c>
      <c r="J4" s="79">
        <f t="shared" si="2"/>
        <v>66854.150000000009</v>
      </c>
      <c r="K4" s="79">
        <f t="shared" si="2"/>
        <v>66854.150000000009</v>
      </c>
      <c r="L4" s="79">
        <f t="shared" si="2"/>
        <v>66854.150000000009</v>
      </c>
      <c r="M4" s="79">
        <f t="shared" si="2"/>
        <v>66854.150000000009</v>
      </c>
      <c r="N4" s="79">
        <f t="shared" si="2"/>
        <v>66854.150000000009</v>
      </c>
      <c r="O4" s="79">
        <f t="shared" si="2"/>
        <v>66854.150000000009</v>
      </c>
      <c r="P4" s="183">
        <f t="shared" si="2"/>
        <v>66854.150000000009</v>
      </c>
    </row>
    <row r="5" spans="1:16" x14ac:dyDescent="0.3">
      <c r="A5" s="409" t="s">
        <v>331</v>
      </c>
      <c r="B5" s="157">
        <f>'YWLA Year 1 Budget'!C72</f>
        <v>90929.51999999999</v>
      </c>
      <c r="C5" s="186">
        <f>D5-B5</f>
        <v>0</v>
      </c>
      <c r="D5" s="185">
        <f>SUM(E5:P5)</f>
        <v>90929.52</v>
      </c>
      <c r="E5" s="184"/>
      <c r="F5" s="79"/>
      <c r="G5" s="79">
        <f>B5/10</f>
        <v>9092.9519999999993</v>
      </c>
      <c r="H5" s="79">
        <f>B5/10</f>
        <v>9092.9519999999993</v>
      </c>
      <c r="I5" s="79">
        <f>B5/10</f>
        <v>9092.9519999999993</v>
      </c>
      <c r="J5" s="79">
        <f>B5/10</f>
        <v>9092.9519999999993</v>
      </c>
      <c r="K5" s="79">
        <f>B5/10</f>
        <v>9092.9519999999993</v>
      </c>
      <c r="L5" s="79">
        <f>B5/10</f>
        <v>9092.9519999999993</v>
      </c>
      <c r="M5" s="79">
        <f>B5/10</f>
        <v>9092.9519999999993</v>
      </c>
      <c r="N5" s="79">
        <f>B5/10</f>
        <v>9092.9519999999993</v>
      </c>
      <c r="O5" s="79">
        <f>B5/10</f>
        <v>9092.9519999999993</v>
      </c>
      <c r="P5" s="183">
        <f>B5/10</f>
        <v>9092.9519999999993</v>
      </c>
    </row>
    <row r="6" spans="1:16" x14ac:dyDescent="0.3">
      <c r="A6" s="409" t="s">
        <v>330</v>
      </c>
      <c r="B6" s="157">
        <f>'YWLA Year 1 Budget'!C73</f>
        <v>9500</v>
      </c>
      <c r="C6" s="186">
        <f>D6-B6</f>
        <v>0</v>
      </c>
      <c r="D6" s="185">
        <f>SUM(E6:P6)</f>
        <v>9500</v>
      </c>
      <c r="E6" s="184"/>
      <c r="F6" s="79"/>
      <c r="G6" s="79"/>
      <c r="H6" s="79"/>
      <c r="I6" s="79"/>
      <c r="J6" s="79"/>
      <c r="K6" s="79"/>
      <c r="L6" s="79">
        <f>B6</f>
        <v>9500</v>
      </c>
      <c r="M6" s="79"/>
      <c r="N6" s="79"/>
      <c r="O6" s="79"/>
      <c r="P6" s="183"/>
    </row>
    <row r="7" spans="1:16" x14ac:dyDescent="0.3">
      <c r="A7" s="410" t="s">
        <v>51</v>
      </c>
      <c r="B7" s="157">
        <f>'YWLA Year 1 Budget'!C74</f>
        <v>0</v>
      </c>
      <c r="C7" s="186">
        <f t="shared" si="0"/>
        <v>0</v>
      </c>
      <c r="D7" s="185">
        <f t="shared" si="1"/>
        <v>0</v>
      </c>
      <c r="E7" s="184"/>
      <c r="F7" s="188"/>
      <c r="G7" s="79"/>
      <c r="H7" s="79"/>
      <c r="I7" s="79"/>
      <c r="J7" s="79"/>
      <c r="K7" s="79"/>
      <c r="L7" s="79">
        <v>0</v>
      </c>
      <c r="M7" s="79"/>
      <c r="N7" s="79"/>
      <c r="O7" s="79"/>
      <c r="P7" s="183"/>
    </row>
    <row r="8" spans="1:16" x14ac:dyDescent="0.3">
      <c r="A8" s="410" t="s">
        <v>384</v>
      </c>
      <c r="B8" s="157">
        <f>'YWLA Year 1 Budget'!C75</f>
        <v>36184.5</v>
      </c>
      <c r="C8" s="186"/>
      <c r="D8" s="185">
        <f t="shared" si="1"/>
        <v>36184.5</v>
      </c>
      <c r="E8" s="184"/>
      <c r="F8" s="188"/>
      <c r="G8" s="79"/>
      <c r="H8" s="79"/>
      <c r="I8" s="79"/>
      <c r="J8" s="79"/>
      <c r="K8" s="79"/>
      <c r="L8" s="79">
        <f>B8*0.75</f>
        <v>27138.375</v>
      </c>
      <c r="M8" s="79"/>
      <c r="N8" s="79"/>
      <c r="O8" s="79">
        <f>B8*0.25</f>
        <v>9046.125</v>
      </c>
      <c r="P8" s="183"/>
    </row>
    <row r="9" spans="1:16" x14ac:dyDescent="0.3">
      <c r="A9" s="410" t="s">
        <v>390</v>
      </c>
      <c r="B9" s="157">
        <f>'YWLA Year 1 Budget'!C76</f>
        <v>10370</v>
      </c>
      <c r="C9" s="186"/>
      <c r="D9" s="185">
        <f t="shared" si="1"/>
        <v>10370</v>
      </c>
      <c r="E9" s="184"/>
      <c r="F9" s="188"/>
      <c r="G9" s="79"/>
      <c r="H9" s="79"/>
      <c r="I9" s="79"/>
      <c r="J9" s="79"/>
      <c r="K9" s="79"/>
      <c r="L9" s="79">
        <f>B9*0.75</f>
        <v>7777.5</v>
      </c>
      <c r="M9" s="79"/>
      <c r="N9" s="79"/>
      <c r="O9" s="79">
        <f>B9*0.25</f>
        <v>2592.5</v>
      </c>
      <c r="P9" s="183"/>
    </row>
    <row r="10" spans="1:16" x14ac:dyDescent="0.3">
      <c r="A10" s="409" t="s">
        <v>416</v>
      </c>
      <c r="B10" s="157">
        <f>'YWLA Year 1 Budget'!C77</f>
        <v>0</v>
      </c>
      <c r="C10" s="186"/>
      <c r="D10" s="185">
        <f t="shared" si="1"/>
        <v>0</v>
      </c>
      <c r="E10" s="184"/>
      <c r="F10" s="188"/>
      <c r="G10" s="79"/>
      <c r="H10" s="79"/>
      <c r="I10" s="79"/>
      <c r="J10" s="79"/>
      <c r="K10" s="79"/>
      <c r="L10" s="79"/>
      <c r="M10" s="79"/>
      <c r="N10" s="79"/>
      <c r="O10" s="79"/>
      <c r="P10" s="183"/>
    </row>
    <row r="11" spans="1:16" x14ac:dyDescent="0.3">
      <c r="A11" s="409" t="s">
        <v>332</v>
      </c>
      <c r="B11" s="157">
        <f>'YWLA Year 1 Budget'!C78</f>
        <v>0</v>
      </c>
      <c r="C11" s="186">
        <f t="shared" si="0"/>
        <v>0</v>
      </c>
      <c r="D11" s="185">
        <f t="shared" si="1"/>
        <v>0</v>
      </c>
      <c r="E11" s="184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183"/>
    </row>
    <row r="12" spans="1:16" x14ac:dyDescent="0.3">
      <c r="A12" s="409" t="s">
        <v>334</v>
      </c>
      <c r="B12" s="157">
        <f>'YWLA Year 1 Budget'!C79</f>
        <v>0</v>
      </c>
      <c r="C12" s="186"/>
      <c r="D12" s="185">
        <f t="shared" si="1"/>
        <v>0</v>
      </c>
      <c r="E12" s="184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183"/>
    </row>
    <row r="13" spans="1:16" x14ac:dyDescent="0.3">
      <c r="A13" s="71" t="s">
        <v>335</v>
      </c>
      <c r="B13" s="157">
        <f>'YWLA Year 1 Budget'!C80</f>
        <v>419781.1</v>
      </c>
      <c r="C13" s="186">
        <f t="shared" si="0"/>
        <v>0</v>
      </c>
      <c r="D13" s="185">
        <f t="shared" si="1"/>
        <v>419781.10000000003</v>
      </c>
      <c r="E13" s="184"/>
      <c r="F13" s="79"/>
      <c r="G13" s="79"/>
      <c r="H13" s="79">
        <f>B13/9</f>
        <v>46642.344444444439</v>
      </c>
      <c r="I13" s="79">
        <f>H13</f>
        <v>46642.344444444439</v>
      </c>
      <c r="J13" s="79">
        <f t="shared" ref="J13:O13" si="3">I13</f>
        <v>46642.344444444439</v>
      </c>
      <c r="K13" s="79">
        <f t="shared" si="3"/>
        <v>46642.344444444439</v>
      </c>
      <c r="L13" s="79">
        <f t="shared" si="3"/>
        <v>46642.344444444439</v>
      </c>
      <c r="M13" s="79">
        <f t="shared" si="3"/>
        <v>46642.344444444439</v>
      </c>
      <c r="N13" s="79">
        <f t="shared" si="3"/>
        <v>46642.344444444439</v>
      </c>
      <c r="O13" s="79">
        <f t="shared" si="3"/>
        <v>46642.344444444439</v>
      </c>
      <c r="P13" s="183">
        <f>O13</f>
        <v>46642.344444444439</v>
      </c>
    </row>
    <row r="14" spans="1:16" x14ac:dyDescent="0.3">
      <c r="A14" s="82" t="s">
        <v>409</v>
      </c>
      <c r="B14" s="157">
        <f>'YWLA Year 1 Budget'!C81</f>
        <v>200000</v>
      </c>
      <c r="C14" s="186">
        <f t="shared" si="0"/>
        <v>0</v>
      </c>
      <c r="D14" s="185">
        <f t="shared" si="1"/>
        <v>200000</v>
      </c>
      <c r="E14" s="184">
        <v>100000</v>
      </c>
      <c r="F14" s="79">
        <v>100000</v>
      </c>
      <c r="G14" s="79"/>
      <c r="H14" s="79"/>
      <c r="I14" s="79"/>
      <c r="J14" s="79"/>
      <c r="K14" s="79">
        <v>0</v>
      </c>
      <c r="L14" s="79"/>
      <c r="M14" s="79">
        <f>J14</f>
        <v>0</v>
      </c>
      <c r="N14" s="79"/>
      <c r="O14" s="79"/>
      <c r="P14" s="183">
        <f>M14</f>
        <v>0</v>
      </c>
    </row>
    <row r="15" spans="1:16" x14ac:dyDescent="0.3">
      <c r="A15" s="82" t="s">
        <v>428</v>
      </c>
      <c r="B15" s="157">
        <f>'YWLA Year 1 Budget'!C82</f>
        <v>0</v>
      </c>
      <c r="C15" s="475"/>
      <c r="D15" s="185">
        <f t="shared" si="1"/>
        <v>0</v>
      </c>
      <c r="E15" s="17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178"/>
    </row>
    <row r="16" spans="1:16" ht="15" thickBot="1" x14ac:dyDescent="0.35">
      <c r="A16" s="206" t="s">
        <v>52</v>
      </c>
      <c r="B16" s="205">
        <f>SUM(B4:B14)</f>
        <v>1569014.92</v>
      </c>
      <c r="C16" s="203">
        <f>SUM(C4:C14)</f>
        <v>0</v>
      </c>
      <c r="D16" s="204">
        <f>SUM(E16:P16)</f>
        <v>1569014.9199999997</v>
      </c>
      <c r="E16" s="203">
        <f t="shared" ref="E16:P16" si="4">SUM(E4:E14)</f>
        <v>166854.15000000002</v>
      </c>
      <c r="F16" s="202">
        <f t="shared" si="4"/>
        <v>166854.15000000002</v>
      </c>
      <c r="G16" s="202">
        <f t="shared" si="4"/>
        <v>75947.102000000014</v>
      </c>
      <c r="H16" s="202">
        <f t="shared" si="4"/>
        <v>122589.44644444445</v>
      </c>
      <c r="I16" s="202">
        <f t="shared" si="4"/>
        <v>122589.44644444445</v>
      </c>
      <c r="J16" s="202">
        <f t="shared" si="4"/>
        <v>122589.44644444445</v>
      </c>
      <c r="K16" s="202">
        <f t="shared" si="4"/>
        <v>122589.44644444445</v>
      </c>
      <c r="L16" s="202">
        <f t="shared" si="4"/>
        <v>167005.32144444445</v>
      </c>
      <c r="M16" s="202">
        <f t="shared" si="4"/>
        <v>122589.44644444445</v>
      </c>
      <c r="N16" s="202">
        <f t="shared" si="4"/>
        <v>122589.44644444445</v>
      </c>
      <c r="O16" s="202">
        <f t="shared" si="4"/>
        <v>134228.07144444445</v>
      </c>
      <c r="P16" s="201">
        <f t="shared" si="4"/>
        <v>122589.44644444445</v>
      </c>
    </row>
    <row r="17" spans="1:16" x14ac:dyDescent="0.3">
      <c r="A17" s="82"/>
      <c r="B17" s="157"/>
      <c r="C17" s="184"/>
      <c r="D17" s="185"/>
      <c r="E17" s="184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183"/>
    </row>
    <row r="18" spans="1:16" x14ac:dyDescent="0.3">
      <c r="A18" s="200" t="s">
        <v>55</v>
      </c>
      <c r="B18" s="199" t="s">
        <v>188</v>
      </c>
      <c r="C18" s="197" t="s">
        <v>187</v>
      </c>
      <c r="D18" s="198" t="s">
        <v>158</v>
      </c>
      <c r="E18" s="197" t="s">
        <v>186</v>
      </c>
      <c r="F18" s="196" t="s">
        <v>185</v>
      </c>
      <c r="G18" s="196" t="s">
        <v>184</v>
      </c>
      <c r="H18" s="196" t="s">
        <v>183</v>
      </c>
      <c r="I18" s="196" t="s">
        <v>182</v>
      </c>
      <c r="J18" s="196" t="s">
        <v>181</v>
      </c>
      <c r="K18" s="196" t="s">
        <v>180</v>
      </c>
      <c r="L18" s="196" t="s">
        <v>179</v>
      </c>
      <c r="M18" s="196" t="s">
        <v>178</v>
      </c>
      <c r="N18" s="196" t="s">
        <v>177</v>
      </c>
      <c r="O18" s="196" t="s">
        <v>176</v>
      </c>
      <c r="P18" s="195" t="s">
        <v>175</v>
      </c>
    </row>
    <row r="19" spans="1:16" x14ac:dyDescent="0.3">
      <c r="A19" s="187" t="s">
        <v>30</v>
      </c>
      <c r="B19" s="157">
        <f>'YWLA Year 1 Budget'!C100</f>
        <v>100000</v>
      </c>
      <c r="C19" s="186">
        <f>D19-B19</f>
        <v>0</v>
      </c>
      <c r="D19" s="185">
        <f>SUM(E19:P19)</f>
        <v>99999.999999999985</v>
      </c>
      <c r="E19" s="184">
        <f>B19/12</f>
        <v>8333.3333333333339</v>
      </c>
      <c r="F19" s="79">
        <f t="shared" ref="F19:P19" si="5">E19</f>
        <v>8333.3333333333339</v>
      </c>
      <c r="G19" s="79">
        <f t="shared" si="5"/>
        <v>8333.3333333333339</v>
      </c>
      <c r="H19" s="79">
        <f t="shared" si="5"/>
        <v>8333.3333333333339</v>
      </c>
      <c r="I19" s="79">
        <f t="shared" si="5"/>
        <v>8333.3333333333339</v>
      </c>
      <c r="J19" s="79">
        <f t="shared" si="5"/>
        <v>8333.3333333333339</v>
      </c>
      <c r="K19" s="79">
        <f t="shared" si="5"/>
        <v>8333.3333333333339</v>
      </c>
      <c r="L19" s="79">
        <f t="shared" si="5"/>
        <v>8333.3333333333339</v>
      </c>
      <c r="M19" s="79">
        <f t="shared" si="5"/>
        <v>8333.3333333333339</v>
      </c>
      <c r="N19" s="79">
        <f t="shared" si="5"/>
        <v>8333.3333333333339</v>
      </c>
      <c r="O19" s="79">
        <f t="shared" si="5"/>
        <v>8333.3333333333339</v>
      </c>
      <c r="P19" s="183">
        <f t="shared" si="5"/>
        <v>8333.3333333333339</v>
      </c>
    </row>
    <row r="20" spans="1:16" x14ac:dyDescent="0.3">
      <c r="A20" s="187" t="s">
        <v>57</v>
      </c>
      <c r="B20" s="157">
        <f>'YWLA Year 1 Budget'!C101</f>
        <v>0</v>
      </c>
      <c r="C20" s="186">
        <f>D20-B20</f>
        <v>0</v>
      </c>
      <c r="D20" s="185">
        <f>SUM(E20:P20)</f>
        <v>0</v>
      </c>
      <c r="E20" s="184">
        <f>B20/12</f>
        <v>0</v>
      </c>
      <c r="F20" s="79">
        <f t="shared" ref="F20:P20" si="6">E20</f>
        <v>0</v>
      </c>
      <c r="G20" s="79">
        <f t="shared" si="6"/>
        <v>0</v>
      </c>
      <c r="H20" s="79">
        <f t="shared" si="6"/>
        <v>0</v>
      </c>
      <c r="I20" s="79">
        <f t="shared" si="6"/>
        <v>0</v>
      </c>
      <c r="J20" s="79">
        <f t="shared" si="6"/>
        <v>0</v>
      </c>
      <c r="K20" s="79">
        <f t="shared" si="6"/>
        <v>0</v>
      </c>
      <c r="L20" s="79">
        <f t="shared" si="6"/>
        <v>0</v>
      </c>
      <c r="M20" s="79">
        <f t="shared" si="6"/>
        <v>0</v>
      </c>
      <c r="N20" s="79">
        <f t="shared" si="6"/>
        <v>0</v>
      </c>
      <c r="O20" s="79">
        <f t="shared" si="6"/>
        <v>0</v>
      </c>
      <c r="P20" s="183">
        <f t="shared" si="6"/>
        <v>0</v>
      </c>
    </row>
    <row r="21" spans="1:16" x14ac:dyDescent="0.3">
      <c r="A21" s="187" t="s">
        <v>415</v>
      </c>
      <c r="B21" s="157">
        <f>'YWLA Year 1 Budget'!C102</f>
        <v>0</v>
      </c>
      <c r="C21" s="186">
        <f>D21-B21</f>
        <v>0</v>
      </c>
      <c r="D21" s="185">
        <f>SUM(E21:P21)</f>
        <v>0</v>
      </c>
      <c r="E21" s="184">
        <f>B21/12</f>
        <v>0</v>
      </c>
      <c r="F21" s="79">
        <f t="shared" ref="F21" si="7">E21</f>
        <v>0</v>
      </c>
      <c r="G21" s="79">
        <f t="shared" ref="G21" si="8">F21</f>
        <v>0</v>
      </c>
      <c r="H21" s="79">
        <f t="shared" ref="H21" si="9">G21</f>
        <v>0</v>
      </c>
      <c r="I21" s="79">
        <f t="shared" ref="I21" si="10">H21</f>
        <v>0</v>
      </c>
      <c r="J21" s="79">
        <f t="shared" ref="J21" si="11">I21</f>
        <v>0</v>
      </c>
      <c r="K21" s="79">
        <f t="shared" ref="K21" si="12">J21</f>
        <v>0</v>
      </c>
      <c r="L21" s="79">
        <f t="shared" ref="L21" si="13">K21</f>
        <v>0</v>
      </c>
      <c r="M21" s="79">
        <f t="shared" ref="M21" si="14">L21</f>
        <v>0</v>
      </c>
      <c r="N21" s="79">
        <f t="shared" ref="N21" si="15">M21</f>
        <v>0</v>
      </c>
      <c r="O21" s="79">
        <f t="shared" ref="O21" si="16">N21</f>
        <v>0</v>
      </c>
      <c r="P21" s="183">
        <f t="shared" ref="P21" si="17">O21</f>
        <v>0</v>
      </c>
    </row>
    <row r="22" spans="1:16" x14ac:dyDescent="0.3">
      <c r="A22" s="187" t="s">
        <v>417</v>
      </c>
      <c r="B22" s="157">
        <f>'YWLA Year 1 Budget'!C103</f>
        <v>50000</v>
      </c>
      <c r="C22" s="186"/>
      <c r="D22" s="185">
        <f t="shared" ref="D22:D40" si="18">SUM(E22:P22)</f>
        <v>49999.999999999993</v>
      </c>
      <c r="E22" s="184"/>
      <c r="F22" s="79">
        <f>B22/11</f>
        <v>4545.454545454545</v>
      </c>
      <c r="G22" s="79">
        <f t="shared" ref="G22:P22" si="19">F22</f>
        <v>4545.454545454545</v>
      </c>
      <c r="H22" s="79">
        <f t="shared" si="19"/>
        <v>4545.454545454545</v>
      </c>
      <c r="I22" s="79">
        <f t="shared" si="19"/>
        <v>4545.454545454545</v>
      </c>
      <c r="J22" s="79">
        <f t="shared" si="19"/>
        <v>4545.454545454545</v>
      </c>
      <c r="K22" s="79">
        <f t="shared" si="19"/>
        <v>4545.454545454545</v>
      </c>
      <c r="L22" s="79">
        <f t="shared" si="19"/>
        <v>4545.454545454545</v>
      </c>
      <c r="M22" s="79">
        <f t="shared" si="19"/>
        <v>4545.454545454545</v>
      </c>
      <c r="N22" s="79">
        <f t="shared" si="19"/>
        <v>4545.454545454545</v>
      </c>
      <c r="O22" s="79">
        <f t="shared" si="19"/>
        <v>4545.454545454545</v>
      </c>
      <c r="P22" s="183">
        <f t="shared" si="19"/>
        <v>4545.454545454545</v>
      </c>
    </row>
    <row r="23" spans="1:16" x14ac:dyDescent="0.3">
      <c r="A23" s="187" t="s">
        <v>413</v>
      </c>
      <c r="B23" s="157">
        <f>'YWLA Year 1 Budget'!C104</f>
        <v>65000</v>
      </c>
      <c r="C23" s="186">
        <f t="shared" ref="C23:C55" si="20">D23-B23</f>
        <v>0</v>
      </c>
      <c r="D23" s="185">
        <f t="shared" si="18"/>
        <v>65000.000000000015</v>
      </c>
      <c r="E23" s="184"/>
      <c r="F23" s="79">
        <f>B23/11</f>
        <v>5909.090909090909</v>
      </c>
      <c r="G23" s="79">
        <f t="shared" ref="G23:P23" si="21">F23</f>
        <v>5909.090909090909</v>
      </c>
      <c r="H23" s="79">
        <f t="shared" si="21"/>
        <v>5909.090909090909</v>
      </c>
      <c r="I23" s="79">
        <f t="shared" si="21"/>
        <v>5909.090909090909</v>
      </c>
      <c r="J23" s="79">
        <f t="shared" si="21"/>
        <v>5909.090909090909</v>
      </c>
      <c r="K23" s="79">
        <f t="shared" si="21"/>
        <v>5909.090909090909</v>
      </c>
      <c r="L23" s="79">
        <f t="shared" si="21"/>
        <v>5909.090909090909</v>
      </c>
      <c r="M23" s="79">
        <f t="shared" si="21"/>
        <v>5909.090909090909</v>
      </c>
      <c r="N23" s="79">
        <f t="shared" si="21"/>
        <v>5909.090909090909</v>
      </c>
      <c r="O23" s="79">
        <f t="shared" si="21"/>
        <v>5909.090909090909</v>
      </c>
      <c r="P23" s="183">
        <f t="shared" si="21"/>
        <v>5909.090909090909</v>
      </c>
    </row>
    <row r="24" spans="1:16" x14ac:dyDescent="0.3">
      <c r="A24" s="187" t="s">
        <v>425</v>
      </c>
      <c r="B24" s="157">
        <f>'YWLA Year 1 Budget'!C105</f>
        <v>0</v>
      </c>
      <c r="C24" s="186"/>
      <c r="D24" s="185"/>
      <c r="E24" s="184"/>
      <c r="F24" s="194"/>
      <c r="G24" s="79"/>
      <c r="H24" s="79"/>
      <c r="I24" s="79"/>
      <c r="J24" s="79"/>
      <c r="K24" s="79"/>
      <c r="L24" s="79"/>
      <c r="M24" s="79"/>
      <c r="N24" s="79"/>
      <c r="O24" s="79"/>
      <c r="P24" s="183"/>
    </row>
    <row r="25" spans="1:16" x14ac:dyDescent="0.3">
      <c r="A25" s="187" t="s">
        <v>59</v>
      </c>
      <c r="B25" s="157">
        <f>'YWLA Year 1 Budget'!C106</f>
        <v>200000</v>
      </c>
      <c r="C25" s="192">
        <f t="shared" si="20"/>
        <v>-16666.666666666686</v>
      </c>
      <c r="D25" s="185">
        <f t="shared" si="18"/>
        <v>183333.33333333331</v>
      </c>
      <c r="E25" s="184"/>
      <c r="F25" s="79">
        <f>B25/12</f>
        <v>16666.666666666668</v>
      </c>
      <c r="G25" s="79">
        <f t="shared" ref="G25:P25" si="22">F25</f>
        <v>16666.666666666668</v>
      </c>
      <c r="H25" s="79">
        <f t="shared" si="22"/>
        <v>16666.666666666668</v>
      </c>
      <c r="I25" s="79">
        <f t="shared" si="22"/>
        <v>16666.666666666668</v>
      </c>
      <c r="J25" s="79">
        <f t="shared" si="22"/>
        <v>16666.666666666668</v>
      </c>
      <c r="K25" s="79">
        <f t="shared" si="22"/>
        <v>16666.666666666668</v>
      </c>
      <c r="L25" s="79">
        <f t="shared" si="22"/>
        <v>16666.666666666668</v>
      </c>
      <c r="M25" s="79">
        <f t="shared" si="22"/>
        <v>16666.666666666668</v>
      </c>
      <c r="N25" s="79">
        <f t="shared" si="22"/>
        <v>16666.666666666668</v>
      </c>
      <c r="O25" s="79">
        <f t="shared" si="22"/>
        <v>16666.666666666668</v>
      </c>
      <c r="P25" s="183">
        <f t="shared" si="22"/>
        <v>16666.666666666668</v>
      </c>
    </row>
    <row r="26" spans="1:16" x14ac:dyDescent="0.3">
      <c r="A26" s="187" t="s">
        <v>20</v>
      </c>
      <c r="B26" s="157">
        <f>'YWLA Year 1 Budget'!C107</f>
        <v>50000</v>
      </c>
      <c r="C26" s="192">
        <f t="shared" si="20"/>
        <v>-4166.6666666666715</v>
      </c>
      <c r="D26" s="185">
        <f t="shared" si="18"/>
        <v>45833.333333333328</v>
      </c>
      <c r="E26" s="184"/>
      <c r="F26" s="79">
        <f>B26/12</f>
        <v>4166.666666666667</v>
      </c>
      <c r="G26" s="79">
        <f t="shared" ref="G26:P26" si="23">F26</f>
        <v>4166.666666666667</v>
      </c>
      <c r="H26" s="79">
        <f t="shared" si="23"/>
        <v>4166.666666666667</v>
      </c>
      <c r="I26" s="79">
        <f t="shared" si="23"/>
        <v>4166.666666666667</v>
      </c>
      <c r="J26" s="79">
        <f t="shared" si="23"/>
        <v>4166.666666666667</v>
      </c>
      <c r="K26" s="79">
        <f t="shared" si="23"/>
        <v>4166.666666666667</v>
      </c>
      <c r="L26" s="79">
        <f t="shared" si="23"/>
        <v>4166.666666666667</v>
      </c>
      <c r="M26" s="79">
        <f t="shared" si="23"/>
        <v>4166.666666666667</v>
      </c>
      <c r="N26" s="79">
        <f t="shared" si="23"/>
        <v>4166.666666666667</v>
      </c>
      <c r="O26" s="79">
        <f t="shared" si="23"/>
        <v>4166.666666666667</v>
      </c>
      <c r="P26" s="183">
        <f t="shared" si="23"/>
        <v>4166.666666666667</v>
      </c>
    </row>
    <row r="27" spans="1:16" x14ac:dyDescent="0.3">
      <c r="A27" s="187" t="s">
        <v>60</v>
      </c>
      <c r="B27" s="157">
        <f>'YWLA Year 1 Budget'!C108</f>
        <v>43000</v>
      </c>
      <c r="C27" s="186">
        <f t="shared" si="20"/>
        <v>0</v>
      </c>
      <c r="D27" s="185">
        <f t="shared" si="18"/>
        <v>43000</v>
      </c>
      <c r="E27" s="184">
        <f>B27/12</f>
        <v>3583.3333333333335</v>
      </c>
      <c r="F27" s="79">
        <f>E27</f>
        <v>3583.3333333333335</v>
      </c>
      <c r="G27" s="79">
        <f t="shared" ref="G27:P27" si="24">F27</f>
        <v>3583.3333333333335</v>
      </c>
      <c r="H27" s="79">
        <f t="shared" si="24"/>
        <v>3583.3333333333335</v>
      </c>
      <c r="I27" s="79">
        <f t="shared" si="24"/>
        <v>3583.3333333333335</v>
      </c>
      <c r="J27" s="79">
        <f t="shared" si="24"/>
        <v>3583.3333333333335</v>
      </c>
      <c r="K27" s="79">
        <f t="shared" si="24"/>
        <v>3583.3333333333335</v>
      </c>
      <c r="L27" s="79">
        <f t="shared" si="24"/>
        <v>3583.3333333333335</v>
      </c>
      <c r="M27" s="79">
        <f t="shared" si="24"/>
        <v>3583.3333333333335</v>
      </c>
      <c r="N27" s="79">
        <f t="shared" si="24"/>
        <v>3583.3333333333335</v>
      </c>
      <c r="O27" s="79">
        <f t="shared" si="24"/>
        <v>3583.3333333333335</v>
      </c>
      <c r="P27" s="183">
        <f t="shared" si="24"/>
        <v>3583.3333333333335</v>
      </c>
    </row>
    <row r="28" spans="1:16" x14ac:dyDescent="0.3">
      <c r="A28" s="187" t="s">
        <v>61</v>
      </c>
      <c r="B28" s="157">
        <f>'YWLA Year 1 Budget'!C109</f>
        <v>0</v>
      </c>
      <c r="C28" s="186">
        <f t="shared" si="20"/>
        <v>0</v>
      </c>
      <c r="D28" s="185">
        <f t="shared" si="18"/>
        <v>0</v>
      </c>
      <c r="E28" s="184"/>
      <c r="F28" s="79">
        <f>B28/11</f>
        <v>0</v>
      </c>
      <c r="G28" s="79">
        <f t="shared" ref="G28:P28" si="25">F28</f>
        <v>0</v>
      </c>
      <c r="H28" s="79">
        <f t="shared" si="25"/>
        <v>0</v>
      </c>
      <c r="I28" s="79">
        <f t="shared" si="25"/>
        <v>0</v>
      </c>
      <c r="J28" s="79">
        <f t="shared" si="25"/>
        <v>0</v>
      </c>
      <c r="K28" s="79">
        <f t="shared" si="25"/>
        <v>0</v>
      </c>
      <c r="L28" s="79">
        <f t="shared" si="25"/>
        <v>0</v>
      </c>
      <c r="M28" s="79">
        <f t="shared" si="25"/>
        <v>0</v>
      </c>
      <c r="N28" s="79">
        <f t="shared" si="25"/>
        <v>0</v>
      </c>
      <c r="O28" s="79">
        <f t="shared" si="25"/>
        <v>0</v>
      </c>
      <c r="P28" s="183">
        <f t="shared" si="25"/>
        <v>0</v>
      </c>
    </row>
    <row r="29" spans="1:16" x14ac:dyDescent="0.3">
      <c r="A29" s="187" t="s">
        <v>62</v>
      </c>
      <c r="B29" s="157">
        <f>'YWLA Year 1 Budget'!C110</f>
        <v>40320</v>
      </c>
      <c r="C29" s="186">
        <f t="shared" si="20"/>
        <v>0</v>
      </c>
      <c r="D29" s="185">
        <f t="shared" si="18"/>
        <v>40319.999999999993</v>
      </c>
      <c r="E29" s="184"/>
      <c r="F29" s="79">
        <f>B29/11</f>
        <v>3665.4545454545455</v>
      </c>
      <c r="G29" s="79">
        <f t="shared" ref="G29:P29" si="26">F29</f>
        <v>3665.4545454545455</v>
      </c>
      <c r="H29" s="79">
        <f t="shared" si="26"/>
        <v>3665.4545454545455</v>
      </c>
      <c r="I29" s="79">
        <f t="shared" si="26"/>
        <v>3665.4545454545455</v>
      </c>
      <c r="J29" s="79">
        <f t="shared" si="26"/>
        <v>3665.4545454545455</v>
      </c>
      <c r="K29" s="79">
        <f t="shared" si="26"/>
        <v>3665.4545454545455</v>
      </c>
      <c r="L29" s="79">
        <f t="shared" si="26"/>
        <v>3665.4545454545455</v>
      </c>
      <c r="M29" s="79">
        <f t="shared" si="26"/>
        <v>3665.4545454545455</v>
      </c>
      <c r="N29" s="79">
        <f t="shared" si="26"/>
        <v>3665.4545454545455</v>
      </c>
      <c r="O29" s="79">
        <f t="shared" si="26"/>
        <v>3665.4545454545455</v>
      </c>
      <c r="P29" s="183">
        <f t="shared" si="26"/>
        <v>3665.4545454545455</v>
      </c>
    </row>
    <row r="30" spans="1:16" x14ac:dyDescent="0.3">
      <c r="A30" s="187" t="s">
        <v>63</v>
      </c>
      <c r="B30" s="157">
        <f>'YWLA Year 1 Budget'!C111</f>
        <v>0</v>
      </c>
      <c r="C30" s="186">
        <f t="shared" si="20"/>
        <v>0</v>
      </c>
      <c r="D30" s="185">
        <f t="shared" si="18"/>
        <v>0</v>
      </c>
      <c r="E30" s="184">
        <f t="shared" ref="E30:E40" si="27">B30/12</f>
        <v>0</v>
      </c>
      <c r="F30" s="79">
        <f t="shared" ref="F30:F40" si="28">E30</f>
        <v>0</v>
      </c>
      <c r="G30" s="79">
        <f t="shared" ref="G30:P30" si="29">F30</f>
        <v>0</v>
      </c>
      <c r="H30" s="79">
        <f t="shared" si="29"/>
        <v>0</v>
      </c>
      <c r="I30" s="79">
        <f t="shared" si="29"/>
        <v>0</v>
      </c>
      <c r="J30" s="79">
        <f t="shared" si="29"/>
        <v>0</v>
      </c>
      <c r="K30" s="79">
        <f t="shared" si="29"/>
        <v>0</v>
      </c>
      <c r="L30" s="79">
        <f t="shared" si="29"/>
        <v>0</v>
      </c>
      <c r="M30" s="79">
        <f t="shared" si="29"/>
        <v>0</v>
      </c>
      <c r="N30" s="79">
        <f t="shared" si="29"/>
        <v>0</v>
      </c>
      <c r="O30" s="79">
        <f t="shared" si="29"/>
        <v>0</v>
      </c>
      <c r="P30" s="183">
        <f t="shared" si="29"/>
        <v>0</v>
      </c>
    </row>
    <row r="31" spans="1:16" x14ac:dyDescent="0.3">
      <c r="A31" s="187" t="s">
        <v>64</v>
      </c>
      <c r="B31" s="157">
        <f>'YWLA Year 1 Budget'!C112</f>
        <v>0</v>
      </c>
      <c r="C31" s="186">
        <f t="shared" si="20"/>
        <v>0</v>
      </c>
      <c r="D31" s="185">
        <f t="shared" si="18"/>
        <v>0</v>
      </c>
      <c r="E31" s="184">
        <f t="shared" si="27"/>
        <v>0</v>
      </c>
      <c r="F31" s="79">
        <f t="shared" si="28"/>
        <v>0</v>
      </c>
      <c r="G31" s="79">
        <f t="shared" ref="G31:P31" si="30">F31</f>
        <v>0</v>
      </c>
      <c r="H31" s="79">
        <f t="shared" si="30"/>
        <v>0</v>
      </c>
      <c r="I31" s="79">
        <f t="shared" si="30"/>
        <v>0</v>
      </c>
      <c r="J31" s="79">
        <f t="shared" si="30"/>
        <v>0</v>
      </c>
      <c r="K31" s="79">
        <f t="shared" si="30"/>
        <v>0</v>
      </c>
      <c r="L31" s="79">
        <f t="shared" si="30"/>
        <v>0</v>
      </c>
      <c r="M31" s="79">
        <f t="shared" si="30"/>
        <v>0</v>
      </c>
      <c r="N31" s="79">
        <f t="shared" si="30"/>
        <v>0</v>
      </c>
      <c r="O31" s="79">
        <f t="shared" si="30"/>
        <v>0</v>
      </c>
      <c r="P31" s="183">
        <f t="shared" si="30"/>
        <v>0</v>
      </c>
    </row>
    <row r="32" spans="1:16" x14ac:dyDescent="0.3">
      <c r="A32" s="193" t="s">
        <v>174</v>
      </c>
      <c r="B32" s="157">
        <v>0</v>
      </c>
      <c r="C32" s="186">
        <f t="shared" si="20"/>
        <v>0</v>
      </c>
      <c r="D32" s="185">
        <f t="shared" si="18"/>
        <v>0</v>
      </c>
      <c r="E32" s="184">
        <f t="shared" si="27"/>
        <v>0</v>
      </c>
      <c r="F32" s="79">
        <f t="shared" si="28"/>
        <v>0</v>
      </c>
      <c r="G32" s="79">
        <f t="shared" ref="G32:P32" si="31">F32</f>
        <v>0</v>
      </c>
      <c r="H32" s="79">
        <f t="shared" si="31"/>
        <v>0</v>
      </c>
      <c r="I32" s="79">
        <f t="shared" si="31"/>
        <v>0</v>
      </c>
      <c r="J32" s="79">
        <f t="shared" si="31"/>
        <v>0</v>
      </c>
      <c r="K32" s="79">
        <f t="shared" si="31"/>
        <v>0</v>
      </c>
      <c r="L32" s="79">
        <f t="shared" si="31"/>
        <v>0</v>
      </c>
      <c r="M32" s="79">
        <f t="shared" si="31"/>
        <v>0</v>
      </c>
      <c r="N32" s="79">
        <f t="shared" si="31"/>
        <v>0</v>
      </c>
      <c r="O32" s="79">
        <f t="shared" si="31"/>
        <v>0</v>
      </c>
      <c r="P32" s="183">
        <f t="shared" si="31"/>
        <v>0</v>
      </c>
    </row>
    <row r="33" spans="1:16" x14ac:dyDescent="0.3">
      <c r="A33" s="187" t="s">
        <v>37</v>
      </c>
      <c r="B33" s="157">
        <v>0</v>
      </c>
      <c r="C33" s="186">
        <f t="shared" si="20"/>
        <v>0</v>
      </c>
      <c r="D33" s="185">
        <f t="shared" si="18"/>
        <v>0</v>
      </c>
      <c r="E33" s="184">
        <f t="shared" si="27"/>
        <v>0</v>
      </c>
      <c r="F33" s="79">
        <f t="shared" si="28"/>
        <v>0</v>
      </c>
      <c r="G33" s="79">
        <f t="shared" ref="G33:P33" si="32">F33</f>
        <v>0</v>
      </c>
      <c r="H33" s="79">
        <f t="shared" si="32"/>
        <v>0</v>
      </c>
      <c r="I33" s="79">
        <f t="shared" si="32"/>
        <v>0</v>
      </c>
      <c r="J33" s="79">
        <f t="shared" si="32"/>
        <v>0</v>
      </c>
      <c r="K33" s="79">
        <f t="shared" si="32"/>
        <v>0</v>
      </c>
      <c r="L33" s="79">
        <f t="shared" si="32"/>
        <v>0</v>
      </c>
      <c r="M33" s="79">
        <f t="shared" si="32"/>
        <v>0</v>
      </c>
      <c r="N33" s="79">
        <f t="shared" si="32"/>
        <v>0</v>
      </c>
      <c r="O33" s="79">
        <f t="shared" si="32"/>
        <v>0</v>
      </c>
      <c r="P33" s="183">
        <f t="shared" si="32"/>
        <v>0</v>
      </c>
    </row>
    <row r="34" spans="1:16" x14ac:dyDescent="0.3">
      <c r="A34" s="187" t="s">
        <v>38</v>
      </c>
      <c r="B34" s="157">
        <v>0</v>
      </c>
      <c r="C34" s="186">
        <f t="shared" si="20"/>
        <v>0</v>
      </c>
      <c r="D34" s="185">
        <f t="shared" si="18"/>
        <v>0</v>
      </c>
      <c r="E34" s="184">
        <f t="shared" si="27"/>
        <v>0</v>
      </c>
      <c r="F34" s="79">
        <f t="shared" si="28"/>
        <v>0</v>
      </c>
      <c r="G34" s="79">
        <f t="shared" ref="G34:P34" si="33">F34</f>
        <v>0</v>
      </c>
      <c r="H34" s="79">
        <f t="shared" si="33"/>
        <v>0</v>
      </c>
      <c r="I34" s="79">
        <f t="shared" si="33"/>
        <v>0</v>
      </c>
      <c r="J34" s="79">
        <f t="shared" si="33"/>
        <v>0</v>
      </c>
      <c r="K34" s="79">
        <f t="shared" si="33"/>
        <v>0</v>
      </c>
      <c r="L34" s="79">
        <f t="shared" si="33"/>
        <v>0</v>
      </c>
      <c r="M34" s="79">
        <f t="shared" si="33"/>
        <v>0</v>
      </c>
      <c r="N34" s="79">
        <f t="shared" si="33"/>
        <v>0</v>
      </c>
      <c r="O34" s="79">
        <f t="shared" si="33"/>
        <v>0</v>
      </c>
      <c r="P34" s="183">
        <f t="shared" si="33"/>
        <v>0</v>
      </c>
    </row>
    <row r="35" spans="1:16" x14ac:dyDescent="0.3">
      <c r="A35" s="187" t="s">
        <v>39</v>
      </c>
      <c r="B35" s="157">
        <v>0</v>
      </c>
      <c r="C35" s="186">
        <f t="shared" si="20"/>
        <v>0</v>
      </c>
      <c r="D35" s="185">
        <f t="shared" si="18"/>
        <v>0</v>
      </c>
      <c r="E35" s="184">
        <f t="shared" si="27"/>
        <v>0</v>
      </c>
      <c r="F35" s="79">
        <f t="shared" si="28"/>
        <v>0</v>
      </c>
      <c r="G35" s="79">
        <f t="shared" ref="G35:P35" si="34">F35</f>
        <v>0</v>
      </c>
      <c r="H35" s="79">
        <f t="shared" si="34"/>
        <v>0</v>
      </c>
      <c r="I35" s="79">
        <f t="shared" si="34"/>
        <v>0</v>
      </c>
      <c r="J35" s="79">
        <f t="shared" si="34"/>
        <v>0</v>
      </c>
      <c r="K35" s="79">
        <f t="shared" si="34"/>
        <v>0</v>
      </c>
      <c r="L35" s="79">
        <f t="shared" si="34"/>
        <v>0</v>
      </c>
      <c r="M35" s="79">
        <f t="shared" si="34"/>
        <v>0</v>
      </c>
      <c r="N35" s="79">
        <f t="shared" si="34"/>
        <v>0</v>
      </c>
      <c r="O35" s="79">
        <f t="shared" si="34"/>
        <v>0</v>
      </c>
      <c r="P35" s="183">
        <f t="shared" si="34"/>
        <v>0</v>
      </c>
    </row>
    <row r="36" spans="1:16" x14ac:dyDescent="0.3">
      <c r="A36" s="187" t="s">
        <v>40</v>
      </c>
      <c r="B36" s="157">
        <v>0</v>
      </c>
      <c r="C36" s="186">
        <f t="shared" si="20"/>
        <v>0</v>
      </c>
      <c r="D36" s="185">
        <f t="shared" si="18"/>
        <v>0</v>
      </c>
      <c r="E36" s="184">
        <f t="shared" si="27"/>
        <v>0</v>
      </c>
      <c r="F36" s="79">
        <f t="shared" si="28"/>
        <v>0</v>
      </c>
      <c r="G36" s="79">
        <f t="shared" ref="G36:P36" si="35">F36</f>
        <v>0</v>
      </c>
      <c r="H36" s="79">
        <f t="shared" si="35"/>
        <v>0</v>
      </c>
      <c r="I36" s="79">
        <f t="shared" si="35"/>
        <v>0</v>
      </c>
      <c r="J36" s="79">
        <f t="shared" si="35"/>
        <v>0</v>
      </c>
      <c r="K36" s="79">
        <f t="shared" si="35"/>
        <v>0</v>
      </c>
      <c r="L36" s="79">
        <f t="shared" si="35"/>
        <v>0</v>
      </c>
      <c r="M36" s="79">
        <f t="shared" si="35"/>
        <v>0</v>
      </c>
      <c r="N36" s="79">
        <f t="shared" si="35"/>
        <v>0</v>
      </c>
      <c r="O36" s="79">
        <f t="shared" si="35"/>
        <v>0</v>
      </c>
      <c r="P36" s="183">
        <f t="shared" si="35"/>
        <v>0</v>
      </c>
    </row>
    <row r="37" spans="1:16" x14ac:dyDescent="0.3">
      <c r="A37" s="187" t="s">
        <v>68</v>
      </c>
      <c r="B37" s="157">
        <v>0</v>
      </c>
      <c r="C37" s="186">
        <f t="shared" si="20"/>
        <v>0</v>
      </c>
      <c r="D37" s="185">
        <f t="shared" si="18"/>
        <v>0</v>
      </c>
      <c r="E37" s="184">
        <f t="shared" si="27"/>
        <v>0</v>
      </c>
      <c r="F37" s="79">
        <f t="shared" si="28"/>
        <v>0</v>
      </c>
      <c r="G37" s="79">
        <f t="shared" ref="G37:P37" si="36">F37</f>
        <v>0</v>
      </c>
      <c r="H37" s="79">
        <f t="shared" si="36"/>
        <v>0</v>
      </c>
      <c r="I37" s="79">
        <f t="shared" si="36"/>
        <v>0</v>
      </c>
      <c r="J37" s="79">
        <f t="shared" si="36"/>
        <v>0</v>
      </c>
      <c r="K37" s="79">
        <f t="shared" si="36"/>
        <v>0</v>
      </c>
      <c r="L37" s="79">
        <f t="shared" si="36"/>
        <v>0</v>
      </c>
      <c r="M37" s="79">
        <f t="shared" si="36"/>
        <v>0</v>
      </c>
      <c r="N37" s="79">
        <f t="shared" si="36"/>
        <v>0</v>
      </c>
      <c r="O37" s="79">
        <f t="shared" si="36"/>
        <v>0</v>
      </c>
      <c r="P37" s="183">
        <f t="shared" si="36"/>
        <v>0</v>
      </c>
    </row>
    <row r="38" spans="1:16" x14ac:dyDescent="0.3">
      <c r="A38" s="187" t="s">
        <v>173</v>
      </c>
      <c r="B38" s="157">
        <v>0</v>
      </c>
      <c r="C38" s="186">
        <f t="shared" si="20"/>
        <v>0</v>
      </c>
      <c r="D38" s="185">
        <f t="shared" si="18"/>
        <v>0</v>
      </c>
      <c r="E38" s="184">
        <f t="shared" si="27"/>
        <v>0</v>
      </c>
      <c r="F38" s="79">
        <f t="shared" si="28"/>
        <v>0</v>
      </c>
      <c r="G38" s="79">
        <f t="shared" ref="G38:P38" si="37">F38</f>
        <v>0</v>
      </c>
      <c r="H38" s="79">
        <f t="shared" si="37"/>
        <v>0</v>
      </c>
      <c r="I38" s="79">
        <f t="shared" si="37"/>
        <v>0</v>
      </c>
      <c r="J38" s="79">
        <f t="shared" si="37"/>
        <v>0</v>
      </c>
      <c r="K38" s="79">
        <f t="shared" si="37"/>
        <v>0</v>
      </c>
      <c r="L38" s="79">
        <f t="shared" si="37"/>
        <v>0</v>
      </c>
      <c r="M38" s="79">
        <f t="shared" si="37"/>
        <v>0</v>
      </c>
      <c r="N38" s="79">
        <f t="shared" si="37"/>
        <v>0</v>
      </c>
      <c r="O38" s="79">
        <f t="shared" si="37"/>
        <v>0</v>
      </c>
      <c r="P38" s="183">
        <f t="shared" si="37"/>
        <v>0</v>
      </c>
    </row>
    <row r="39" spans="1:16" x14ac:dyDescent="0.3">
      <c r="A39" s="187" t="s">
        <v>69</v>
      </c>
      <c r="B39" s="157">
        <f>'YWLA Year 1 Budget'!C122</f>
        <v>20720</v>
      </c>
      <c r="C39" s="186">
        <f t="shared" si="20"/>
        <v>0</v>
      </c>
      <c r="D39" s="185">
        <f t="shared" si="18"/>
        <v>20720</v>
      </c>
      <c r="E39" s="184">
        <f t="shared" si="27"/>
        <v>1726.6666666666667</v>
      </c>
      <c r="F39" s="79">
        <f t="shared" si="28"/>
        <v>1726.6666666666667</v>
      </c>
      <c r="G39" s="79">
        <f t="shared" ref="G39:P39" si="38">F39</f>
        <v>1726.6666666666667</v>
      </c>
      <c r="H39" s="79">
        <f t="shared" si="38"/>
        <v>1726.6666666666667</v>
      </c>
      <c r="I39" s="79">
        <f t="shared" si="38"/>
        <v>1726.6666666666667</v>
      </c>
      <c r="J39" s="79">
        <f t="shared" si="38"/>
        <v>1726.6666666666667</v>
      </c>
      <c r="K39" s="79">
        <f t="shared" si="38"/>
        <v>1726.6666666666667</v>
      </c>
      <c r="L39" s="79">
        <f t="shared" si="38"/>
        <v>1726.6666666666667</v>
      </c>
      <c r="M39" s="79">
        <f t="shared" si="38"/>
        <v>1726.6666666666667</v>
      </c>
      <c r="N39" s="79">
        <f t="shared" si="38"/>
        <v>1726.6666666666667</v>
      </c>
      <c r="O39" s="79">
        <f t="shared" si="38"/>
        <v>1726.6666666666667</v>
      </c>
      <c r="P39" s="183">
        <f t="shared" si="38"/>
        <v>1726.6666666666667</v>
      </c>
    </row>
    <row r="40" spans="1:16" x14ac:dyDescent="0.3">
      <c r="A40" s="187" t="s">
        <v>70</v>
      </c>
      <c r="B40" s="157">
        <f>'YWLA Year 1 Budget'!C123</f>
        <v>0</v>
      </c>
      <c r="C40" s="186">
        <f t="shared" si="20"/>
        <v>0</v>
      </c>
      <c r="D40" s="185">
        <f t="shared" si="18"/>
        <v>0</v>
      </c>
      <c r="E40" s="184">
        <f t="shared" si="27"/>
        <v>0</v>
      </c>
      <c r="F40" s="79">
        <f t="shared" si="28"/>
        <v>0</v>
      </c>
      <c r="G40" s="79">
        <f t="shared" ref="G40:P40" si="39">F40</f>
        <v>0</v>
      </c>
      <c r="H40" s="79">
        <f t="shared" si="39"/>
        <v>0</v>
      </c>
      <c r="I40" s="79">
        <f t="shared" si="39"/>
        <v>0</v>
      </c>
      <c r="J40" s="79">
        <f t="shared" si="39"/>
        <v>0</v>
      </c>
      <c r="K40" s="79">
        <f t="shared" si="39"/>
        <v>0</v>
      </c>
      <c r="L40" s="79">
        <f t="shared" si="39"/>
        <v>0</v>
      </c>
      <c r="M40" s="79">
        <f t="shared" si="39"/>
        <v>0</v>
      </c>
      <c r="N40" s="79">
        <f t="shared" si="39"/>
        <v>0</v>
      </c>
      <c r="O40" s="79">
        <f t="shared" si="39"/>
        <v>0</v>
      </c>
      <c r="P40" s="183">
        <f t="shared" si="39"/>
        <v>0</v>
      </c>
    </row>
    <row r="41" spans="1:16" x14ac:dyDescent="0.3">
      <c r="A41" s="187" t="s">
        <v>72</v>
      </c>
      <c r="B41" s="157">
        <f>'YWLA Year 1 Budget'!C126</f>
        <v>169289.40000000002</v>
      </c>
      <c r="C41" s="192">
        <f t="shared" si="20"/>
        <v>-8938.9500000000698</v>
      </c>
      <c r="D41" s="185">
        <f t="shared" ref="D41:D73" si="40">SUM(E41:P41)</f>
        <v>160350.44999999995</v>
      </c>
      <c r="E41" s="191">
        <f>(SUM(E19:E40)*0.2925)</f>
        <v>3990.6749999999997</v>
      </c>
      <c r="F41" s="7">
        <f t="shared" ref="F41:P41" si="41">(SUM(F19:F40)*0.2925)</f>
        <v>14214.524999999998</v>
      </c>
      <c r="G41" s="7">
        <f t="shared" si="41"/>
        <v>14214.524999999998</v>
      </c>
      <c r="H41" s="7">
        <f t="shared" si="41"/>
        <v>14214.524999999998</v>
      </c>
      <c r="I41" s="7">
        <f t="shared" si="41"/>
        <v>14214.524999999998</v>
      </c>
      <c r="J41" s="7">
        <f t="shared" si="41"/>
        <v>14214.524999999998</v>
      </c>
      <c r="K41" s="7">
        <f t="shared" si="41"/>
        <v>14214.524999999998</v>
      </c>
      <c r="L41" s="7">
        <f t="shared" si="41"/>
        <v>14214.524999999998</v>
      </c>
      <c r="M41" s="7">
        <f t="shared" si="41"/>
        <v>14214.524999999998</v>
      </c>
      <c r="N41" s="7">
        <f t="shared" si="41"/>
        <v>14214.524999999998</v>
      </c>
      <c r="O41" s="7">
        <f t="shared" si="41"/>
        <v>14214.524999999998</v>
      </c>
      <c r="P41" s="190">
        <f t="shared" si="41"/>
        <v>14214.524999999998</v>
      </c>
    </row>
    <row r="42" spans="1:16" x14ac:dyDescent="0.3">
      <c r="A42" s="187" t="s">
        <v>73</v>
      </c>
      <c r="B42" s="157">
        <f>'YWLA Year 1 Budget'!C127</f>
        <v>95939.4</v>
      </c>
      <c r="C42" s="192">
        <f t="shared" si="20"/>
        <v>2737.7999999999884</v>
      </c>
      <c r="D42" s="185">
        <f t="shared" si="40"/>
        <v>98677.199999999983</v>
      </c>
      <c r="E42" s="191">
        <f>((SUM(E19:E40)*0.18))</f>
        <v>2455.8000000000002</v>
      </c>
      <c r="F42" s="7">
        <f t="shared" ref="F42:P42" si="42">((SUM(F19:F40)*0.18))</f>
        <v>8747.4</v>
      </c>
      <c r="G42" s="7">
        <f t="shared" si="42"/>
        <v>8747.4</v>
      </c>
      <c r="H42" s="7">
        <f t="shared" si="42"/>
        <v>8747.4</v>
      </c>
      <c r="I42" s="7">
        <f t="shared" si="42"/>
        <v>8747.4</v>
      </c>
      <c r="J42" s="7">
        <f t="shared" si="42"/>
        <v>8747.4</v>
      </c>
      <c r="K42" s="7">
        <f t="shared" si="42"/>
        <v>8747.4</v>
      </c>
      <c r="L42" s="7">
        <f t="shared" si="42"/>
        <v>8747.4</v>
      </c>
      <c r="M42" s="7">
        <f t="shared" si="42"/>
        <v>8747.4</v>
      </c>
      <c r="N42" s="7">
        <f t="shared" si="42"/>
        <v>8747.4</v>
      </c>
      <c r="O42" s="7">
        <f t="shared" si="42"/>
        <v>8747.4</v>
      </c>
      <c r="P42" s="190">
        <f t="shared" si="42"/>
        <v>8747.4</v>
      </c>
    </row>
    <row r="43" spans="1:16" x14ac:dyDescent="0.3">
      <c r="A43" s="187" t="s">
        <v>74</v>
      </c>
      <c r="B43" s="157">
        <f>'YWLA Year 1 Budget'!C128</f>
        <v>2000</v>
      </c>
      <c r="C43" s="186">
        <f t="shared" si="20"/>
        <v>0</v>
      </c>
      <c r="D43" s="185">
        <f t="shared" si="40"/>
        <v>2000</v>
      </c>
      <c r="E43" s="184"/>
      <c r="F43" s="79"/>
      <c r="G43" s="79"/>
      <c r="H43" s="79"/>
      <c r="I43" s="79"/>
      <c r="J43" s="79">
        <v>0</v>
      </c>
      <c r="K43" s="79"/>
      <c r="L43" s="79"/>
      <c r="M43" s="79"/>
      <c r="N43" s="79"/>
      <c r="O43" s="79"/>
      <c r="P43" s="183">
        <f>B43-J43</f>
        <v>2000</v>
      </c>
    </row>
    <row r="44" spans="1:16" x14ac:dyDescent="0.3">
      <c r="A44" s="187" t="s">
        <v>172</v>
      </c>
      <c r="B44" s="157">
        <f>'YWLA Year 1 Budget'!C129</f>
        <v>0</v>
      </c>
      <c r="C44" s="186">
        <f t="shared" si="20"/>
        <v>0</v>
      </c>
      <c r="D44" s="185">
        <f t="shared" si="40"/>
        <v>0</v>
      </c>
      <c r="E44" s="184"/>
      <c r="F44" s="79"/>
      <c r="G44" s="79"/>
      <c r="H44" s="79"/>
      <c r="I44" s="79"/>
      <c r="J44" s="79">
        <v>0</v>
      </c>
      <c r="K44" s="79"/>
      <c r="L44" s="79"/>
      <c r="M44" s="79"/>
      <c r="N44" s="79">
        <v>0</v>
      </c>
      <c r="O44" s="79"/>
      <c r="P44" s="183"/>
    </row>
    <row r="45" spans="1:16" x14ac:dyDescent="0.3">
      <c r="A45" s="187" t="s">
        <v>76</v>
      </c>
      <c r="B45" s="157">
        <f>'YWLA Year 1 Budget'!C130</f>
        <v>1200</v>
      </c>
      <c r="C45" s="186">
        <f t="shared" si="20"/>
        <v>0</v>
      </c>
      <c r="D45" s="185">
        <f t="shared" si="40"/>
        <v>1200</v>
      </c>
      <c r="E45" s="184"/>
      <c r="F45" s="79"/>
      <c r="G45" s="79"/>
      <c r="H45" s="79"/>
      <c r="I45" s="79"/>
      <c r="J45" s="79"/>
      <c r="K45" s="79">
        <f>B45/2</f>
        <v>600</v>
      </c>
      <c r="L45" s="79"/>
      <c r="M45" s="79"/>
      <c r="N45" s="79"/>
      <c r="O45" s="79"/>
      <c r="P45" s="183">
        <f>B45/2</f>
        <v>600</v>
      </c>
    </row>
    <row r="46" spans="1:16" x14ac:dyDescent="0.3">
      <c r="A46" s="187" t="s">
        <v>77</v>
      </c>
      <c r="B46" s="157">
        <f>'YWLA Year 1 Budget'!C131</f>
        <v>8750</v>
      </c>
      <c r="C46" s="186">
        <f t="shared" si="20"/>
        <v>0</v>
      </c>
      <c r="D46" s="185">
        <f t="shared" si="40"/>
        <v>8750</v>
      </c>
      <c r="E46" s="184"/>
      <c r="F46" s="79">
        <f>B46/10</f>
        <v>875</v>
      </c>
      <c r="G46" s="79">
        <f t="shared" ref="G46:O46" si="43">F46</f>
        <v>875</v>
      </c>
      <c r="H46" s="79">
        <f t="shared" si="43"/>
        <v>875</v>
      </c>
      <c r="I46" s="79">
        <f t="shared" si="43"/>
        <v>875</v>
      </c>
      <c r="J46" s="79">
        <f t="shared" si="43"/>
        <v>875</v>
      </c>
      <c r="K46" s="79">
        <f t="shared" si="43"/>
        <v>875</v>
      </c>
      <c r="L46" s="79">
        <f t="shared" si="43"/>
        <v>875</v>
      </c>
      <c r="M46" s="79">
        <f t="shared" si="43"/>
        <v>875</v>
      </c>
      <c r="N46" s="79">
        <f t="shared" si="43"/>
        <v>875</v>
      </c>
      <c r="O46" s="79">
        <f t="shared" si="43"/>
        <v>875</v>
      </c>
      <c r="P46" s="183"/>
    </row>
    <row r="47" spans="1:16" x14ac:dyDescent="0.3">
      <c r="A47" s="189" t="s">
        <v>80</v>
      </c>
      <c r="B47" s="157">
        <f>'YWLA Year 1 Budget'!C134</f>
        <v>3850</v>
      </c>
      <c r="C47" s="186">
        <f t="shared" si="20"/>
        <v>0</v>
      </c>
      <c r="D47" s="185">
        <f t="shared" si="40"/>
        <v>3850</v>
      </c>
      <c r="E47" s="184">
        <f>B47*0.8</f>
        <v>3080</v>
      </c>
      <c r="F47" s="79">
        <f>(B47-E47)/2</f>
        <v>385</v>
      </c>
      <c r="G47" s="79">
        <f>F47</f>
        <v>385</v>
      </c>
      <c r="H47" s="79"/>
      <c r="I47" s="79"/>
      <c r="J47" s="79"/>
      <c r="K47" s="79"/>
      <c r="L47" s="79"/>
      <c r="M47" s="79"/>
      <c r="N47" s="79"/>
      <c r="O47" s="79"/>
      <c r="P47" s="183"/>
    </row>
    <row r="48" spans="1:16" x14ac:dyDescent="0.3">
      <c r="A48" s="189" t="s">
        <v>81</v>
      </c>
      <c r="B48" s="157">
        <f>'YWLA Year 1 Budget'!C135</f>
        <v>0</v>
      </c>
      <c r="C48" s="186">
        <f t="shared" si="20"/>
        <v>0</v>
      </c>
      <c r="D48" s="185">
        <f t="shared" si="40"/>
        <v>0</v>
      </c>
      <c r="E48" s="184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183"/>
    </row>
    <row r="49" spans="1:16" x14ac:dyDescent="0.3">
      <c r="A49" s="187" t="s">
        <v>82</v>
      </c>
      <c r="B49" s="157">
        <f>'YWLA Year 1 Budget'!C136</f>
        <v>0</v>
      </c>
      <c r="C49" s="186">
        <f t="shared" si="20"/>
        <v>0</v>
      </c>
      <c r="D49" s="185">
        <f t="shared" si="40"/>
        <v>0</v>
      </c>
      <c r="E49" s="184"/>
      <c r="F49" s="79"/>
      <c r="G49" s="79"/>
      <c r="H49" s="79"/>
      <c r="I49" s="79">
        <f>B49/8</f>
        <v>0</v>
      </c>
      <c r="J49" s="79">
        <f t="shared" ref="J49:P55" si="44">I49</f>
        <v>0</v>
      </c>
      <c r="K49" s="79">
        <f t="shared" si="44"/>
        <v>0</v>
      </c>
      <c r="L49" s="79">
        <f t="shared" si="44"/>
        <v>0</v>
      </c>
      <c r="M49" s="79">
        <f t="shared" si="44"/>
        <v>0</v>
      </c>
      <c r="N49" s="79">
        <f t="shared" si="44"/>
        <v>0</v>
      </c>
      <c r="O49" s="79">
        <f t="shared" si="44"/>
        <v>0</v>
      </c>
      <c r="P49" s="183">
        <f t="shared" si="44"/>
        <v>0</v>
      </c>
    </row>
    <row r="50" spans="1:16" x14ac:dyDescent="0.3">
      <c r="A50" s="187" t="s">
        <v>83</v>
      </c>
      <c r="B50" s="157">
        <f>'YWLA Year 1 Budget'!C137</f>
        <v>8540</v>
      </c>
      <c r="C50" s="186">
        <f t="shared" si="20"/>
        <v>0</v>
      </c>
      <c r="D50" s="185">
        <f t="shared" si="40"/>
        <v>8539.9999999999982</v>
      </c>
      <c r="E50" s="184">
        <f t="shared" ref="E50:E55" si="45">B50*0.5</f>
        <v>4270</v>
      </c>
      <c r="F50" s="79">
        <f t="shared" ref="F50:F55" si="46">(B50-E50)/11</f>
        <v>388.18181818181819</v>
      </c>
      <c r="G50" s="79">
        <f t="shared" ref="G50:I55" si="47">F50</f>
        <v>388.18181818181819</v>
      </c>
      <c r="H50" s="79">
        <f t="shared" si="47"/>
        <v>388.18181818181819</v>
      </c>
      <c r="I50" s="79">
        <f t="shared" si="47"/>
        <v>388.18181818181819</v>
      </c>
      <c r="J50" s="79">
        <f t="shared" si="44"/>
        <v>388.18181818181819</v>
      </c>
      <c r="K50" s="79">
        <f t="shared" si="44"/>
        <v>388.18181818181819</v>
      </c>
      <c r="L50" s="79">
        <f t="shared" si="44"/>
        <v>388.18181818181819</v>
      </c>
      <c r="M50" s="79">
        <f t="shared" si="44"/>
        <v>388.18181818181819</v>
      </c>
      <c r="N50" s="79">
        <f t="shared" si="44"/>
        <v>388.18181818181819</v>
      </c>
      <c r="O50" s="79">
        <f t="shared" si="44"/>
        <v>388.18181818181819</v>
      </c>
      <c r="P50" s="183">
        <f t="shared" si="44"/>
        <v>388.18181818181819</v>
      </c>
    </row>
    <row r="51" spans="1:16" x14ac:dyDescent="0.3">
      <c r="A51" s="187" t="s">
        <v>84</v>
      </c>
      <c r="B51" s="157">
        <f>'YWLA Year 1 Budget'!C138</f>
        <v>3190</v>
      </c>
      <c r="C51" s="186">
        <f t="shared" si="20"/>
        <v>0</v>
      </c>
      <c r="D51" s="185">
        <f t="shared" si="40"/>
        <v>3190</v>
      </c>
      <c r="E51" s="184">
        <f t="shared" si="45"/>
        <v>1595</v>
      </c>
      <c r="F51" s="79">
        <f t="shared" si="46"/>
        <v>145</v>
      </c>
      <c r="G51" s="79">
        <f t="shared" si="47"/>
        <v>145</v>
      </c>
      <c r="H51" s="79">
        <f t="shared" si="47"/>
        <v>145</v>
      </c>
      <c r="I51" s="79">
        <f t="shared" si="47"/>
        <v>145</v>
      </c>
      <c r="J51" s="79">
        <f t="shared" si="44"/>
        <v>145</v>
      </c>
      <c r="K51" s="79">
        <f t="shared" si="44"/>
        <v>145</v>
      </c>
      <c r="L51" s="79">
        <f t="shared" si="44"/>
        <v>145</v>
      </c>
      <c r="M51" s="79">
        <f t="shared" si="44"/>
        <v>145</v>
      </c>
      <c r="N51" s="79">
        <f t="shared" si="44"/>
        <v>145</v>
      </c>
      <c r="O51" s="79">
        <f t="shared" si="44"/>
        <v>145</v>
      </c>
      <c r="P51" s="183">
        <f t="shared" si="44"/>
        <v>145</v>
      </c>
    </row>
    <row r="52" spans="1:16" x14ac:dyDescent="0.3">
      <c r="A52" s="187" t="s">
        <v>85</v>
      </c>
      <c r="B52" s="157">
        <f>'YWLA Year 1 Budget'!C139</f>
        <v>467.5</v>
      </c>
      <c r="C52" s="186">
        <f t="shared" si="20"/>
        <v>0</v>
      </c>
      <c r="D52" s="185">
        <f t="shared" si="40"/>
        <v>467.5</v>
      </c>
      <c r="E52" s="184">
        <f t="shared" si="45"/>
        <v>233.75</v>
      </c>
      <c r="F52" s="79">
        <f t="shared" si="46"/>
        <v>21.25</v>
      </c>
      <c r="G52" s="79">
        <f t="shared" si="47"/>
        <v>21.25</v>
      </c>
      <c r="H52" s="79">
        <f t="shared" si="47"/>
        <v>21.25</v>
      </c>
      <c r="I52" s="79">
        <f t="shared" si="47"/>
        <v>21.25</v>
      </c>
      <c r="J52" s="79">
        <f t="shared" si="44"/>
        <v>21.25</v>
      </c>
      <c r="K52" s="79">
        <f t="shared" si="44"/>
        <v>21.25</v>
      </c>
      <c r="L52" s="79">
        <f t="shared" si="44"/>
        <v>21.25</v>
      </c>
      <c r="M52" s="79">
        <f t="shared" si="44"/>
        <v>21.25</v>
      </c>
      <c r="N52" s="79">
        <f t="shared" si="44"/>
        <v>21.25</v>
      </c>
      <c r="O52" s="79">
        <f t="shared" si="44"/>
        <v>21.25</v>
      </c>
      <c r="P52" s="183">
        <f t="shared" si="44"/>
        <v>21.25</v>
      </c>
    </row>
    <row r="53" spans="1:16" x14ac:dyDescent="0.3">
      <c r="A53" s="187" t="s">
        <v>86</v>
      </c>
      <c r="B53" s="157">
        <f>'YWLA Year 1 Budget'!C140</f>
        <v>357.5</v>
      </c>
      <c r="C53" s="186">
        <f t="shared" si="20"/>
        <v>0</v>
      </c>
      <c r="D53" s="185">
        <f t="shared" si="40"/>
        <v>357.5</v>
      </c>
      <c r="E53" s="184">
        <f t="shared" si="45"/>
        <v>178.75</v>
      </c>
      <c r="F53" s="79">
        <f t="shared" si="46"/>
        <v>16.25</v>
      </c>
      <c r="G53" s="79">
        <f t="shared" si="47"/>
        <v>16.25</v>
      </c>
      <c r="H53" s="79">
        <f t="shared" si="47"/>
        <v>16.25</v>
      </c>
      <c r="I53" s="79">
        <f t="shared" si="47"/>
        <v>16.25</v>
      </c>
      <c r="J53" s="79">
        <f t="shared" si="44"/>
        <v>16.25</v>
      </c>
      <c r="K53" s="79">
        <f t="shared" si="44"/>
        <v>16.25</v>
      </c>
      <c r="L53" s="79">
        <f t="shared" si="44"/>
        <v>16.25</v>
      </c>
      <c r="M53" s="79">
        <f t="shared" si="44"/>
        <v>16.25</v>
      </c>
      <c r="N53" s="79">
        <f t="shared" si="44"/>
        <v>16.25</v>
      </c>
      <c r="O53" s="79">
        <f t="shared" si="44"/>
        <v>16.25</v>
      </c>
      <c r="P53" s="183">
        <f t="shared" si="44"/>
        <v>16.25</v>
      </c>
    </row>
    <row r="54" spans="1:16" x14ac:dyDescent="0.3">
      <c r="A54" s="187" t="s">
        <v>87</v>
      </c>
      <c r="B54" s="157">
        <f>'YWLA Year 1 Budget'!C141</f>
        <v>1702.8</v>
      </c>
      <c r="C54" s="186">
        <f t="shared" si="20"/>
        <v>0</v>
      </c>
      <c r="D54" s="185">
        <f t="shared" si="40"/>
        <v>1702.8000000000006</v>
      </c>
      <c r="E54" s="184">
        <f t="shared" si="45"/>
        <v>851.4</v>
      </c>
      <c r="F54" s="79">
        <f t="shared" si="46"/>
        <v>77.399999999999991</v>
      </c>
      <c r="G54" s="79">
        <f t="shared" si="47"/>
        <v>77.399999999999991</v>
      </c>
      <c r="H54" s="79">
        <f t="shared" si="47"/>
        <v>77.399999999999991</v>
      </c>
      <c r="I54" s="79">
        <f t="shared" si="47"/>
        <v>77.399999999999991</v>
      </c>
      <c r="J54" s="79">
        <f t="shared" si="44"/>
        <v>77.399999999999991</v>
      </c>
      <c r="K54" s="79">
        <f t="shared" si="44"/>
        <v>77.399999999999991</v>
      </c>
      <c r="L54" s="79">
        <f t="shared" si="44"/>
        <v>77.399999999999991</v>
      </c>
      <c r="M54" s="79">
        <f t="shared" si="44"/>
        <v>77.399999999999991</v>
      </c>
      <c r="N54" s="79">
        <f t="shared" si="44"/>
        <v>77.399999999999991</v>
      </c>
      <c r="O54" s="79">
        <f t="shared" si="44"/>
        <v>77.399999999999991</v>
      </c>
      <c r="P54" s="183">
        <f t="shared" si="44"/>
        <v>77.399999999999991</v>
      </c>
    </row>
    <row r="55" spans="1:16" x14ac:dyDescent="0.3">
      <c r="A55" s="187" t="s">
        <v>171</v>
      </c>
      <c r="B55" s="157">
        <f>'YWLA Year 1 Budget'!C142</f>
        <v>3889.49</v>
      </c>
      <c r="C55" s="186">
        <f t="shared" si="20"/>
        <v>0</v>
      </c>
      <c r="D55" s="185">
        <f t="shared" si="40"/>
        <v>3889.4900000000007</v>
      </c>
      <c r="E55" s="184">
        <f t="shared" si="45"/>
        <v>1944.7449999999999</v>
      </c>
      <c r="F55" s="79">
        <f t="shared" si="46"/>
        <v>176.79499999999999</v>
      </c>
      <c r="G55" s="79">
        <f t="shared" si="47"/>
        <v>176.79499999999999</v>
      </c>
      <c r="H55" s="79">
        <f t="shared" si="47"/>
        <v>176.79499999999999</v>
      </c>
      <c r="I55" s="79">
        <f t="shared" si="47"/>
        <v>176.79499999999999</v>
      </c>
      <c r="J55" s="79">
        <f t="shared" si="44"/>
        <v>176.79499999999999</v>
      </c>
      <c r="K55" s="79">
        <f t="shared" si="44"/>
        <v>176.79499999999999</v>
      </c>
      <c r="L55" s="79">
        <f t="shared" si="44"/>
        <v>176.79499999999999</v>
      </c>
      <c r="M55" s="79">
        <f t="shared" si="44"/>
        <v>176.79499999999999</v>
      </c>
      <c r="N55" s="79">
        <f t="shared" si="44"/>
        <v>176.79499999999999</v>
      </c>
      <c r="O55" s="79">
        <f t="shared" si="44"/>
        <v>176.79499999999999</v>
      </c>
      <c r="P55" s="183">
        <f t="shared" si="44"/>
        <v>176.79499999999999</v>
      </c>
    </row>
    <row r="56" spans="1:16" x14ac:dyDescent="0.3">
      <c r="A56" s="187" t="s">
        <v>91</v>
      </c>
      <c r="B56" s="157">
        <f>'YWLA Year 1 Budget'!C145</f>
        <v>0</v>
      </c>
      <c r="C56" s="186">
        <f t="shared" ref="C56:C89" si="48">D56-B56</f>
        <v>0</v>
      </c>
      <c r="D56" s="185">
        <f t="shared" si="40"/>
        <v>0</v>
      </c>
      <c r="E56" s="184"/>
      <c r="F56" s="79"/>
      <c r="G56" s="79"/>
      <c r="H56" s="79"/>
      <c r="I56" s="79"/>
      <c r="J56" s="79"/>
      <c r="K56" s="79">
        <f>B56/2</f>
        <v>0</v>
      </c>
      <c r="L56" s="79"/>
      <c r="M56" s="79"/>
      <c r="N56" s="79"/>
      <c r="O56" s="79"/>
      <c r="P56" s="183">
        <f>K56</f>
        <v>0</v>
      </c>
    </row>
    <row r="57" spans="1:16" x14ac:dyDescent="0.3">
      <c r="A57" s="187" t="s">
        <v>92</v>
      </c>
      <c r="B57" s="157">
        <f>'YWLA Year 1 Budget'!C146</f>
        <v>22000</v>
      </c>
      <c r="C57" s="186">
        <f t="shared" si="48"/>
        <v>0</v>
      </c>
      <c r="D57" s="185">
        <f t="shared" si="40"/>
        <v>22000</v>
      </c>
      <c r="E57" s="184"/>
      <c r="F57" s="79">
        <f>B57/11</f>
        <v>2000</v>
      </c>
      <c r="G57" s="79">
        <f t="shared" ref="G57:P57" si="49">F57</f>
        <v>2000</v>
      </c>
      <c r="H57" s="79">
        <f t="shared" si="49"/>
        <v>2000</v>
      </c>
      <c r="I57" s="79">
        <f t="shared" si="49"/>
        <v>2000</v>
      </c>
      <c r="J57" s="79">
        <f t="shared" si="49"/>
        <v>2000</v>
      </c>
      <c r="K57" s="79">
        <f t="shared" si="49"/>
        <v>2000</v>
      </c>
      <c r="L57" s="79">
        <f t="shared" si="49"/>
        <v>2000</v>
      </c>
      <c r="M57" s="79">
        <f t="shared" si="49"/>
        <v>2000</v>
      </c>
      <c r="N57" s="79">
        <f t="shared" si="49"/>
        <v>2000</v>
      </c>
      <c r="O57" s="79">
        <f t="shared" si="49"/>
        <v>2000</v>
      </c>
      <c r="P57" s="183">
        <f t="shared" si="49"/>
        <v>2000</v>
      </c>
    </row>
    <row r="58" spans="1:16" x14ac:dyDescent="0.3">
      <c r="A58" s="187" t="s">
        <v>224</v>
      </c>
      <c r="B58" s="157">
        <f>'YWLA Year 1 Budget'!C147</f>
        <v>0</v>
      </c>
      <c r="C58" s="186">
        <f t="shared" si="48"/>
        <v>0</v>
      </c>
      <c r="D58" s="185">
        <f t="shared" si="40"/>
        <v>0</v>
      </c>
      <c r="E58" s="184">
        <f>B58/12</f>
        <v>0</v>
      </c>
      <c r="F58" s="79">
        <f>E58</f>
        <v>0</v>
      </c>
      <c r="G58" s="79">
        <f t="shared" ref="G58:P59" si="50">F58</f>
        <v>0</v>
      </c>
      <c r="H58" s="79">
        <f t="shared" si="50"/>
        <v>0</v>
      </c>
      <c r="I58" s="79">
        <f t="shared" si="50"/>
        <v>0</v>
      </c>
      <c r="J58" s="79">
        <f t="shared" si="50"/>
        <v>0</v>
      </c>
      <c r="K58" s="79">
        <f t="shared" si="50"/>
        <v>0</v>
      </c>
      <c r="L58" s="79">
        <f t="shared" si="50"/>
        <v>0</v>
      </c>
      <c r="M58" s="79">
        <f t="shared" si="50"/>
        <v>0</v>
      </c>
      <c r="N58" s="79">
        <f t="shared" si="50"/>
        <v>0</v>
      </c>
      <c r="O58" s="79">
        <f t="shared" si="50"/>
        <v>0</v>
      </c>
      <c r="P58" s="183">
        <f t="shared" si="50"/>
        <v>0</v>
      </c>
    </row>
    <row r="59" spans="1:16" x14ac:dyDescent="0.3">
      <c r="A59" s="187" t="s">
        <v>225</v>
      </c>
      <c r="B59" s="157">
        <f>'YWLA Year 1 Budget'!C148</f>
        <v>49500</v>
      </c>
      <c r="C59" s="186"/>
      <c r="D59" s="185">
        <f t="shared" si="40"/>
        <v>49500</v>
      </c>
      <c r="E59" s="184">
        <f>B59/12</f>
        <v>4125</v>
      </c>
      <c r="F59" s="79">
        <f>E59</f>
        <v>4125</v>
      </c>
      <c r="G59" s="79">
        <f t="shared" si="50"/>
        <v>4125</v>
      </c>
      <c r="H59" s="79">
        <f t="shared" si="50"/>
        <v>4125</v>
      </c>
      <c r="I59" s="79">
        <f t="shared" si="50"/>
        <v>4125</v>
      </c>
      <c r="J59" s="79">
        <f t="shared" si="50"/>
        <v>4125</v>
      </c>
      <c r="K59" s="79">
        <f t="shared" si="50"/>
        <v>4125</v>
      </c>
      <c r="L59" s="79">
        <f t="shared" si="50"/>
        <v>4125</v>
      </c>
      <c r="M59" s="79">
        <f t="shared" si="50"/>
        <v>4125</v>
      </c>
      <c r="N59" s="79">
        <f t="shared" si="50"/>
        <v>4125</v>
      </c>
      <c r="O59" s="79">
        <f t="shared" si="50"/>
        <v>4125</v>
      </c>
      <c r="P59" s="183">
        <f t="shared" si="50"/>
        <v>4125</v>
      </c>
    </row>
    <row r="60" spans="1:16" x14ac:dyDescent="0.3">
      <c r="A60" s="187" t="s">
        <v>93</v>
      </c>
      <c r="B60" s="157">
        <f>'YWLA Year 1 Budget'!C149</f>
        <v>3900</v>
      </c>
      <c r="C60" s="186">
        <f t="shared" si="48"/>
        <v>0</v>
      </c>
      <c r="D60" s="185">
        <f t="shared" si="40"/>
        <v>3900</v>
      </c>
      <c r="E60" s="184">
        <f>B60/12</f>
        <v>325</v>
      </c>
      <c r="F60" s="79">
        <f>E60</f>
        <v>325</v>
      </c>
      <c r="G60" s="79">
        <f t="shared" ref="G60:P60" si="51">F60</f>
        <v>325</v>
      </c>
      <c r="H60" s="79">
        <f t="shared" si="51"/>
        <v>325</v>
      </c>
      <c r="I60" s="79">
        <f t="shared" si="51"/>
        <v>325</v>
      </c>
      <c r="J60" s="79">
        <f t="shared" si="51"/>
        <v>325</v>
      </c>
      <c r="K60" s="79">
        <f t="shared" si="51"/>
        <v>325</v>
      </c>
      <c r="L60" s="79">
        <f t="shared" si="51"/>
        <v>325</v>
      </c>
      <c r="M60" s="79">
        <f t="shared" si="51"/>
        <v>325</v>
      </c>
      <c r="N60" s="79">
        <f t="shared" si="51"/>
        <v>325</v>
      </c>
      <c r="O60" s="79">
        <f t="shared" si="51"/>
        <v>325</v>
      </c>
      <c r="P60" s="183">
        <f t="shared" si="51"/>
        <v>325</v>
      </c>
    </row>
    <row r="61" spans="1:16" x14ac:dyDescent="0.3">
      <c r="A61" s="187" t="s">
        <v>94</v>
      </c>
      <c r="B61" s="157">
        <f>'YWLA Year 1 Budget'!C150</f>
        <v>0</v>
      </c>
      <c r="C61" s="186">
        <f t="shared" si="48"/>
        <v>0</v>
      </c>
      <c r="D61" s="185">
        <f t="shared" si="40"/>
        <v>0</v>
      </c>
      <c r="E61" s="184"/>
      <c r="F61" s="79"/>
      <c r="G61" s="79"/>
      <c r="H61" s="79"/>
      <c r="I61" s="79">
        <f>B61*0.8</f>
        <v>0</v>
      </c>
      <c r="J61" s="79"/>
      <c r="K61" s="79"/>
      <c r="L61" s="79">
        <f>B61-I61</f>
        <v>0</v>
      </c>
      <c r="M61" s="79"/>
      <c r="N61" s="79"/>
      <c r="O61" s="79"/>
      <c r="P61" s="183"/>
    </row>
    <row r="62" spans="1:16" x14ac:dyDescent="0.3">
      <c r="A62" s="187" t="s">
        <v>95</v>
      </c>
      <c r="B62" s="157">
        <f>'YWLA Year 1 Budget'!C151</f>
        <v>1500</v>
      </c>
      <c r="C62" s="186">
        <f t="shared" si="48"/>
        <v>3500</v>
      </c>
      <c r="D62" s="185">
        <f t="shared" si="40"/>
        <v>5000</v>
      </c>
      <c r="E62" s="184">
        <v>4000</v>
      </c>
      <c r="F62" s="79">
        <v>750</v>
      </c>
      <c r="G62" s="79">
        <v>250</v>
      </c>
      <c r="H62" s="79"/>
      <c r="I62" s="79"/>
      <c r="J62" s="79"/>
      <c r="K62" s="79"/>
      <c r="L62" s="79"/>
      <c r="M62" s="79"/>
      <c r="N62" s="79"/>
      <c r="O62" s="79"/>
      <c r="P62" s="183"/>
    </row>
    <row r="63" spans="1:16" x14ac:dyDescent="0.3">
      <c r="A63" s="187" t="s">
        <v>96</v>
      </c>
      <c r="B63" s="157">
        <f>'YWLA Year 1 Budget'!C152</f>
        <v>4950</v>
      </c>
      <c r="C63" s="186">
        <f t="shared" si="48"/>
        <v>0</v>
      </c>
      <c r="D63" s="185">
        <f t="shared" si="40"/>
        <v>4950</v>
      </c>
      <c r="E63" s="184">
        <f>B63/12</f>
        <v>412.5</v>
      </c>
      <c r="F63" s="79">
        <f t="shared" ref="F63:P63" si="52">E63</f>
        <v>412.5</v>
      </c>
      <c r="G63" s="79">
        <f t="shared" si="52"/>
        <v>412.5</v>
      </c>
      <c r="H63" s="79">
        <f t="shared" si="52"/>
        <v>412.5</v>
      </c>
      <c r="I63" s="79">
        <f t="shared" si="52"/>
        <v>412.5</v>
      </c>
      <c r="J63" s="79">
        <f t="shared" si="52"/>
        <v>412.5</v>
      </c>
      <c r="K63" s="79">
        <f t="shared" si="52"/>
        <v>412.5</v>
      </c>
      <c r="L63" s="79">
        <f t="shared" si="52"/>
        <v>412.5</v>
      </c>
      <c r="M63" s="79">
        <f t="shared" si="52"/>
        <v>412.5</v>
      </c>
      <c r="N63" s="79">
        <f t="shared" si="52"/>
        <v>412.5</v>
      </c>
      <c r="O63" s="79">
        <f t="shared" si="52"/>
        <v>412.5</v>
      </c>
      <c r="P63" s="183">
        <f t="shared" si="52"/>
        <v>412.5</v>
      </c>
    </row>
    <row r="64" spans="1:16" x14ac:dyDescent="0.3">
      <c r="A64" s="187" t="s">
        <v>97</v>
      </c>
      <c r="B64" s="157">
        <f>'YWLA Year 1 Budget'!C153</f>
        <v>12700</v>
      </c>
      <c r="C64" s="186">
        <f t="shared" si="48"/>
        <v>-2700</v>
      </c>
      <c r="D64" s="185">
        <f t="shared" si="40"/>
        <v>10000</v>
      </c>
      <c r="E64" s="184">
        <v>8000</v>
      </c>
      <c r="F64" s="79">
        <v>2000</v>
      </c>
      <c r="G64" s="79">
        <v>0</v>
      </c>
      <c r="H64" s="79"/>
      <c r="I64" s="79"/>
      <c r="J64" s="79"/>
      <c r="K64" s="79"/>
      <c r="L64" s="79"/>
      <c r="M64" s="79"/>
      <c r="N64" s="79"/>
      <c r="O64" s="79"/>
      <c r="P64" s="183"/>
    </row>
    <row r="65" spans="1:16" x14ac:dyDescent="0.3">
      <c r="A65" s="187" t="s">
        <v>98</v>
      </c>
      <c r="B65" s="157">
        <f>'YWLA Year 1 Budget'!C154</f>
        <v>10028.122500000001</v>
      </c>
      <c r="C65" s="186">
        <f t="shared" si="48"/>
        <v>0</v>
      </c>
      <c r="D65" s="185">
        <f t="shared" si="40"/>
        <v>10028.122500000001</v>
      </c>
      <c r="E65" s="184">
        <f>B65/12</f>
        <v>835.67687500000011</v>
      </c>
      <c r="F65" s="79">
        <f t="shared" ref="F65:P65" si="53">E65</f>
        <v>835.67687500000011</v>
      </c>
      <c r="G65" s="79">
        <f t="shared" si="53"/>
        <v>835.67687500000011</v>
      </c>
      <c r="H65" s="79">
        <f t="shared" si="53"/>
        <v>835.67687500000011</v>
      </c>
      <c r="I65" s="79">
        <f t="shared" si="53"/>
        <v>835.67687500000011</v>
      </c>
      <c r="J65" s="79">
        <f t="shared" si="53"/>
        <v>835.67687500000011</v>
      </c>
      <c r="K65" s="79">
        <f t="shared" si="53"/>
        <v>835.67687500000011</v>
      </c>
      <c r="L65" s="79">
        <f t="shared" si="53"/>
        <v>835.67687500000011</v>
      </c>
      <c r="M65" s="79">
        <f t="shared" si="53"/>
        <v>835.67687500000011</v>
      </c>
      <c r="N65" s="79">
        <f t="shared" si="53"/>
        <v>835.67687500000011</v>
      </c>
      <c r="O65" s="79">
        <f t="shared" si="53"/>
        <v>835.67687500000011</v>
      </c>
      <c r="P65" s="183">
        <f t="shared" si="53"/>
        <v>835.67687500000011</v>
      </c>
    </row>
    <row r="66" spans="1:16" x14ac:dyDescent="0.3">
      <c r="A66" s="187" t="s">
        <v>99</v>
      </c>
      <c r="B66" s="157">
        <f>'YWLA Year 1 Budget'!C155</f>
        <v>0</v>
      </c>
      <c r="C66" s="186">
        <f t="shared" si="48"/>
        <v>0</v>
      </c>
      <c r="D66" s="185">
        <f t="shared" si="40"/>
        <v>0</v>
      </c>
      <c r="E66" s="184">
        <f>B66/12</f>
        <v>0</v>
      </c>
      <c r="F66" s="79">
        <f t="shared" ref="F66:P66" si="54">E66</f>
        <v>0</v>
      </c>
      <c r="G66" s="79">
        <f t="shared" si="54"/>
        <v>0</v>
      </c>
      <c r="H66" s="79">
        <f t="shared" si="54"/>
        <v>0</v>
      </c>
      <c r="I66" s="79">
        <f t="shared" si="54"/>
        <v>0</v>
      </c>
      <c r="J66" s="79">
        <f t="shared" si="54"/>
        <v>0</v>
      </c>
      <c r="K66" s="79">
        <f t="shared" si="54"/>
        <v>0</v>
      </c>
      <c r="L66" s="79">
        <f t="shared" si="54"/>
        <v>0</v>
      </c>
      <c r="M66" s="79">
        <f t="shared" si="54"/>
        <v>0</v>
      </c>
      <c r="N66" s="79">
        <f t="shared" si="54"/>
        <v>0</v>
      </c>
      <c r="O66" s="79">
        <f t="shared" si="54"/>
        <v>0</v>
      </c>
      <c r="P66" s="183">
        <f t="shared" si="54"/>
        <v>0</v>
      </c>
    </row>
    <row r="67" spans="1:16" x14ac:dyDescent="0.3">
      <c r="A67" s="187" t="s">
        <v>100</v>
      </c>
      <c r="B67" s="157">
        <f>'YWLA Year 1 Budget'!C156</f>
        <v>28331.249</v>
      </c>
      <c r="C67" s="186">
        <f t="shared" si="48"/>
        <v>0</v>
      </c>
      <c r="D67" s="185">
        <f t="shared" si="40"/>
        <v>28331.249000000007</v>
      </c>
      <c r="E67" s="184">
        <f>B67/12</f>
        <v>2360.9374166666666</v>
      </c>
      <c r="F67" s="79">
        <f t="shared" ref="F67:P67" si="55">E67</f>
        <v>2360.9374166666666</v>
      </c>
      <c r="G67" s="79">
        <f t="shared" si="55"/>
        <v>2360.9374166666666</v>
      </c>
      <c r="H67" s="79">
        <f t="shared" si="55"/>
        <v>2360.9374166666666</v>
      </c>
      <c r="I67" s="79">
        <f t="shared" si="55"/>
        <v>2360.9374166666666</v>
      </c>
      <c r="J67" s="79">
        <f t="shared" si="55"/>
        <v>2360.9374166666666</v>
      </c>
      <c r="K67" s="79">
        <f t="shared" si="55"/>
        <v>2360.9374166666666</v>
      </c>
      <c r="L67" s="79">
        <f t="shared" si="55"/>
        <v>2360.9374166666666</v>
      </c>
      <c r="M67" s="79">
        <f t="shared" si="55"/>
        <v>2360.9374166666666</v>
      </c>
      <c r="N67" s="79">
        <f t="shared" si="55"/>
        <v>2360.9374166666666</v>
      </c>
      <c r="O67" s="79">
        <f t="shared" si="55"/>
        <v>2360.9374166666666</v>
      </c>
      <c r="P67" s="183">
        <f t="shared" si="55"/>
        <v>2360.9374166666666</v>
      </c>
    </row>
    <row r="68" spans="1:16" x14ac:dyDescent="0.3">
      <c r="A68" s="187" t="s">
        <v>103</v>
      </c>
      <c r="B68" s="157">
        <f>'YWLA Year 1 Budget'!C159</f>
        <v>6000</v>
      </c>
      <c r="C68" s="186">
        <f t="shared" si="48"/>
        <v>0</v>
      </c>
      <c r="D68" s="185">
        <f t="shared" si="40"/>
        <v>6000.0000000000018</v>
      </c>
      <c r="E68" s="184"/>
      <c r="F68" s="79">
        <f>B68/11</f>
        <v>545.4545454545455</v>
      </c>
      <c r="G68" s="79">
        <f t="shared" ref="G68:P68" si="56">F68</f>
        <v>545.4545454545455</v>
      </c>
      <c r="H68" s="79">
        <f t="shared" si="56"/>
        <v>545.4545454545455</v>
      </c>
      <c r="I68" s="79">
        <f t="shared" si="56"/>
        <v>545.4545454545455</v>
      </c>
      <c r="J68" s="79">
        <f t="shared" si="56"/>
        <v>545.4545454545455</v>
      </c>
      <c r="K68" s="79">
        <f t="shared" si="56"/>
        <v>545.4545454545455</v>
      </c>
      <c r="L68" s="79">
        <f t="shared" si="56"/>
        <v>545.4545454545455</v>
      </c>
      <c r="M68" s="79">
        <f t="shared" si="56"/>
        <v>545.4545454545455</v>
      </c>
      <c r="N68" s="79">
        <f t="shared" si="56"/>
        <v>545.4545454545455</v>
      </c>
      <c r="O68" s="79">
        <f t="shared" si="56"/>
        <v>545.4545454545455</v>
      </c>
      <c r="P68" s="183">
        <f t="shared" si="56"/>
        <v>545.4545454545455</v>
      </c>
    </row>
    <row r="69" spans="1:16" x14ac:dyDescent="0.3">
      <c r="A69" s="187" t="s">
        <v>104</v>
      </c>
      <c r="B69" s="157">
        <f>'YWLA Year 1 Budget'!C160</f>
        <v>7000</v>
      </c>
      <c r="C69" s="186">
        <f t="shared" si="48"/>
        <v>0</v>
      </c>
      <c r="D69" s="185">
        <f t="shared" si="40"/>
        <v>6999.9999999999991</v>
      </c>
      <c r="E69" s="184"/>
      <c r="F69" s="79">
        <f>B69/11</f>
        <v>636.36363636363637</v>
      </c>
      <c r="G69" s="79">
        <f t="shared" ref="G69:P69" si="57">F69</f>
        <v>636.36363636363637</v>
      </c>
      <c r="H69" s="79">
        <f t="shared" si="57"/>
        <v>636.36363636363637</v>
      </c>
      <c r="I69" s="79">
        <f t="shared" si="57"/>
        <v>636.36363636363637</v>
      </c>
      <c r="J69" s="79">
        <f t="shared" si="57"/>
        <v>636.36363636363637</v>
      </c>
      <c r="K69" s="79">
        <f t="shared" si="57"/>
        <v>636.36363636363637</v>
      </c>
      <c r="L69" s="79">
        <f t="shared" si="57"/>
        <v>636.36363636363637</v>
      </c>
      <c r="M69" s="79">
        <f t="shared" si="57"/>
        <v>636.36363636363637</v>
      </c>
      <c r="N69" s="79">
        <f t="shared" si="57"/>
        <v>636.36363636363637</v>
      </c>
      <c r="O69" s="79">
        <f t="shared" si="57"/>
        <v>636.36363636363637</v>
      </c>
      <c r="P69" s="183">
        <f t="shared" si="57"/>
        <v>636.36363636363637</v>
      </c>
    </row>
    <row r="70" spans="1:16" x14ac:dyDescent="0.3">
      <c r="A70" s="187" t="s">
        <v>105</v>
      </c>
      <c r="B70" s="157">
        <f>'YWLA Year 1 Budget'!C161</f>
        <v>0</v>
      </c>
      <c r="C70" s="186">
        <f t="shared" si="48"/>
        <v>0</v>
      </c>
      <c r="D70" s="185">
        <f t="shared" si="40"/>
        <v>0</v>
      </c>
      <c r="E70" s="184"/>
      <c r="F70" s="79"/>
      <c r="G70" s="79">
        <f>F70</f>
        <v>0</v>
      </c>
      <c r="H70" s="79"/>
      <c r="I70" s="79"/>
      <c r="J70" s="79"/>
      <c r="K70" s="79"/>
      <c r="L70" s="79"/>
      <c r="M70" s="79"/>
      <c r="N70" s="79"/>
      <c r="O70" s="79"/>
      <c r="P70" s="183"/>
    </row>
    <row r="71" spans="1:16" x14ac:dyDescent="0.3">
      <c r="A71" s="187" t="s">
        <v>106</v>
      </c>
      <c r="B71" s="157">
        <f>'YWLA Year 1 Budget'!C162</f>
        <v>750</v>
      </c>
      <c r="C71" s="186">
        <f t="shared" si="48"/>
        <v>0</v>
      </c>
      <c r="D71" s="185">
        <f t="shared" si="40"/>
        <v>750</v>
      </c>
      <c r="E71" s="184">
        <f>B71/12</f>
        <v>62.5</v>
      </c>
      <c r="F71" s="79">
        <f>E71</f>
        <v>62.5</v>
      </c>
      <c r="G71" s="79">
        <f>F71</f>
        <v>62.5</v>
      </c>
      <c r="H71" s="79">
        <f t="shared" ref="H71:P71" si="58">G71</f>
        <v>62.5</v>
      </c>
      <c r="I71" s="79">
        <f t="shared" si="58"/>
        <v>62.5</v>
      </c>
      <c r="J71" s="79">
        <f t="shared" si="58"/>
        <v>62.5</v>
      </c>
      <c r="K71" s="79">
        <f t="shared" si="58"/>
        <v>62.5</v>
      </c>
      <c r="L71" s="79">
        <f t="shared" si="58"/>
        <v>62.5</v>
      </c>
      <c r="M71" s="79">
        <f t="shared" si="58"/>
        <v>62.5</v>
      </c>
      <c r="N71" s="79">
        <f t="shared" si="58"/>
        <v>62.5</v>
      </c>
      <c r="O71" s="79">
        <f t="shared" si="58"/>
        <v>62.5</v>
      </c>
      <c r="P71" s="183">
        <f t="shared" si="58"/>
        <v>62.5</v>
      </c>
    </row>
    <row r="72" spans="1:16" x14ac:dyDescent="0.3">
      <c r="A72" s="187" t="s">
        <v>107</v>
      </c>
      <c r="B72" s="157">
        <f>'YWLA Year 1 Budget'!C163</f>
        <v>0</v>
      </c>
      <c r="C72" s="186">
        <f t="shared" si="48"/>
        <v>0</v>
      </c>
      <c r="D72" s="185">
        <f t="shared" si="40"/>
        <v>0</v>
      </c>
      <c r="E72" s="184"/>
      <c r="F72" s="79">
        <f>B72</f>
        <v>0</v>
      </c>
      <c r="G72" s="79"/>
      <c r="H72" s="79"/>
      <c r="I72" s="79"/>
      <c r="J72" s="79"/>
      <c r="K72" s="79"/>
      <c r="L72" s="79"/>
      <c r="M72" s="79"/>
      <c r="N72" s="79"/>
      <c r="O72" s="79"/>
      <c r="P72" s="183"/>
    </row>
    <row r="73" spans="1:16" x14ac:dyDescent="0.3">
      <c r="A73" s="187" t="s">
        <v>108</v>
      </c>
      <c r="B73" s="157">
        <f>'YWLA Year 1 Budget'!C164</f>
        <v>12000</v>
      </c>
      <c r="C73" s="186">
        <f t="shared" si="48"/>
        <v>0</v>
      </c>
      <c r="D73" s="185">
        <f t="shared" si="40"/>
        <v>12000.000000000004</v>
      </c>
      <c r="E73" s="184"/>
      <c r="F73" s="79">
        <f>B73/11</f>
        <v>1090.909090909091</v>
      </c>
      <c r="G73" s="79">
        <f t="shared" ref="G73:P73" si="59">F73</f>
        <v>1090.909090909091</v>
      </c>
      <c r="H73" s="79">
        <f t="shared" si="59"/>
        <v>1090.909090909091</v>
      </c>
      <c r="I73" s="79">
        <f t="shared" si="59"/>
        <v>1090.909090909091</v>
      </c>
      <c r="J73" s="79">
        <f t="shared" si="59"/>
        <v>1090.909090909091</v>
      </c>
      <c r="K73" s="79">
        <f t="shared" si="59"/>
        <v>1090.909090909091</v>
      </c>
      <c r="L73" s="79">
        <f t="shared" si="59"/>
        <v>1090.909090909091</v>
      </c>
      <c r="M73" s="79">
        <f t="shared" si="59"/>
        <v>1090.909090909091</v>
      </c>
      <c r="N73" s="79">
        <f t="shared" si="59"/>
        <v>1090.909090909091</v>
      </c>
      <c r="O73" s="79">
        <f t="shared" si="59"/>
        <v>1090.909090909091</v>
      </c>
      <c r="P73" s="183">
        <f t="shared" si="59"/>
        <v>1090.909090909091</v>
      </c>
    </row>
    <row r="74" spans="1:16" x14ac:dyDescent="0.3">
      <c r="A74" s="187" t="s">
        <v>109</v>
      </c>
      <c r="B74" s="157">
        <f>'YWLA Year 1 Budget'!C165</f>
        <v>0</v>
      </c>
      <c r="C74" s="186">
        <f t="shared" si="48"/>
        <v>0</v>
      </c>
      <c r="D74" s="185">
        <f t="shared" ref="D74:D91" si="60">SUM(E74:P74)</f>
        <v>0</v>
      </c>
      <c r="E74" s="184"/>
      <c r="F74" s="79">
        <f>B74</f>
        <v>0</v>
      </c>
      <c r="G74" s="79"/>
      <c r="H74" s="79"/>
      <c r="I74" s="79"/>
      <c r="J74" s="79"/>
      <c r="K74" s="79"/>
      <c r="L74" s="79"/>
      <c r="M74" s="79"/>
      <c r="N74" s="79"/>
      <c r="O74" s="79"/>
      <c r="P74" s="183"/>
    </row>
    <row r="75" spans="1:16" x14ac:dyDescent="0.3">
      <c r="A75" s="187" t="s">
        <v>112</v>
      </c>
      <c r="B75" s="157">
        <f>'YWLA Year 1 Budget'!C168</f>
        <v>7000</v>
      </c>
      <c r="C75" s="186">
        <f t="shared" si="48"/>
        <v>0</v>
      </c>
      <c r="D75" s="185">
        <f t="shared" si="60"/>
        <v>7000</v>
      </c>
      <c r="E75" s="184"/>
      <c r="F75" s="79"/>
      <c r="G75" s="79">
        <f>B75*0.7</f>
        <v>4900</v>
      </c>
      <c r="H75" s="79"/>
      <c r="I75" s="79"/>
      <c r="J75" s="79"/>
      <c r="K75" s="79">
        <f>B75*0.3</f>
        <v>2100</v>
      </c>
      <c r="L75" s="79"/>
      <c r="M75" s="79"/>
      <c r="N75" s="79"/>
      <c r="O75" s="79"/>
      <c r="P75" s="183"/>
    </row>
    <row r="76" spans="1:16" x14ac:dyDescent="0.3">
      <c r="A76" s="187" t="s">
        <v>113</v>
      </c>
      <c r="B76" s="157">
        <f>'YWLA Year 1 Budget'!C169</f>
        <v>5000</v>
      </c>
      <c r="C76" s="186">
        <f t="shared" si="48"/>
        <v>0</v>
      </c>
      <c r="D76" s="185">
        <f t="shared" si="60"/>
        <v>5000</v>
      </c>
      <c r="E76" s="184"/>
      <c r="F76" s="79"/>
      <c r="G76" s="79">
        <f t="shared" ref="G76:G77" si="61">B76*0.7</f>
        <v>3500</v>
      </c>
      <c r="H76" s="79"/>
      <c r="I76" s="79"/>
      <c r="J76" s="79"/>
      <c r="K76" s="79">
        <f t="shared" ref="K76:K77" si="62">B76*0.3</f>
        <v>1500</v>
      </c>
      <c r="L76" s="79"/>
      <c r="M76" s="79"/>
      <c r="N76" s="79"/>
      <c r="O76" s="79"/>
      <c r="P76" s="183"/>
    </row>
    <row r="77" spans="1:16" x14ac:dyDescent="0.3">
      <c r="A77" s="187" t="s">
        <v>114</v>
      </c>
      <c r="B77" s="157">
        <f>'YWLA Year 1 Budget'!C170</f>
        <v>13500</v>
      </c>
      <c r="C77" s="186">
        <f t="shared" si="48"/>
        <v>0</v>
      </c>
      <c r="D77" s="185">
        <f t="shared" si="60"/>
        <v>13500</v>
      </c>
      <c r="E77" s="184"/>
      <c r="F77" s="79"/>
      <c r="G77" s="79">
        <f t="shared" si="61"/>
        <v>9450</v>
      </c>
      <c r="H77" s="79"/>
      <c r="I77" s="79"/>
      <c r="J77" s="79"/>
      <c r="K77" s="79">
        <f t="shared" si="62"/>
        <v>4050</v>
      </c>
      <c r="L77" s="79"/>
      <c r="M77" s="79"/>
      <c r="N77" s="79"/>
      <c r="O77" s="79"/>
      <c r="P77" s="183"/>
    </row>
    <row r="78" spans="1:16" x14ac:dyDescent="0.3">
      <c r="A78" s="187" t="s">
        <v>117</v>
      </c>
      <c r="B78" s="157">
        <f>'YWLA Year 1 Budget'!C173</f>
        <v>97911</v>
      </c>
      <c r="C78" s="186">
        <f t="shared" si="48"/>
        <v>0</v>
      </c>
      <c r="D78" s="185">
        <f t="shared" si="60"/>
        <v>97911</v>
      </c>
      <c r="E78" s="184"/>
      <c r="F78" s="188">
        <f>B78/11</f>
        <v>8901</v>
      </c>
      <c r="G78" s="79">
        <f t="shared" ref="G78:P78" si="63">F78</f>
        <v>8901</v>
      </c>
      <c r="H78" s="79">
        <f t="shared" si="63"/>
        <v>8901</v>
      </c>
      <c r="I78" s="79">
        <f t="shared" si="63"/>
        <v>8901</v>
      </c>
      <c r="J78" s="79">
        <f t="shared" si="63"/>
        <v>8901</v>
      </c>
      <c r="K78" s="79">
        <f t="shared" si="63"/>
        <v>8901</v>
      </c>
      <c r="L78" s="79">
        <f t="shared" si="63"/>
        <v>8901</v>
      </c>
      <c r="M78" s="79">
        <f t="shared" si="63"/>
        <v>8901</v>
      </c>
      <c r="N78" s="79">
        <f t="shared" si="63"/>
        <v>8901</v>
      </c>
      <c r="O78" s="79">
        <f t="shared" si="63"/>
        <v>8901</v>
      </c>
      <c r="P78" s="183">
        <f t="shared" si="63"/>
        <v>8901</v>
      </c>
    </row>
    <row r="79" spans="1:16" x14ac:dyDescent="0.3">
      <c r="A79" s="187" t="s">
        <v>118</v>
      </c>
      <c r="B79" s="157">
        <f>'YWLA Year 1 Budget'!C174</f>
        <v>5000</v>
      </c>
      <c r="C79" s="186">
        <f t="shared" si="48"/>
        <v>0</v>
      </c>
      <c r="D79" s="185">
        <f t="shared" si="60"/>
        <v>5000</v>
      </c>
      <c r="E79" s="184">
        <v>2500</v>
      </c>
      <c r="F79" s="79">
        <v>2500</v>
      </c>
      <c r="G79" s="79"/>
      <c r="H79" s="79"/>
      <c r="I79" s="79"/>
      <c r="J79" s="79"/>
      <c r="K79" s="79"/>
      <c r="L79" s="79"/>
      <c r="M79" s="79"/>
      <c r="N79" s="79"/>
      <c r="O79" s="79"/>
      <c r="P79" s="183"/>
    </row>
    <row r="80" spans="1:16" x14ac:dyDescent="0.3">
      <c r="A80" s="187" t="s">
        <v>119</v>
      </c>
      <c r="B80" s="157">
        <f>'YWLA Year 1 Budget'!C175</f>
        <v>2420</v>
      </c>
      <c r="C80" s="186">
        <f t="shared" si="48"/>
        <v>-2420</v>
      </c>
      <c r="D80" s="185">
        <f t="shared" si="60"/>
        <v>0</v>
      </c>
      <c r="E80" s="184"/>
      <c r="F80" s="79"/>
      <c r="G80" s="79"/>
      <c r="H80" s="79"/>
      <c r="I80" s="79"/>
      <c r="J80" s="79">
        <v>0</v>
      </c>
      <c r="K80" s="79"/>
      <c r="L80" s="79"/>
      <c r="M80" s="79"/>
      <c r="N80" s="79"/>
      <c r="O80" s="79"/>
      <c r="P80" s="183"/>
    </row>
    <row r="81" spans="1:16" x14ac:dyDescent="0.3">
      <c r="A81" s="187" t="s">
        <v>120</v>
      </c>
      <c r="B81" s="157">
        <f>'YWLA Year 1 Budget'!C176</f>
        <v>840</v>
      </c>
      <c r="C81" s="186">
        <f t="shared" si="48"/>
        <v>0</v>
      </c>
      <c r="D81" s="185">
        <f t="shared" si="60"/>
        <v>840</v>
      </c>
      <c r="E81" s="184"/>
      <c r="F81" s="79">
        <f t="shared" ref="F81:F89" si="64">B81/11</f>
        <v>76.36363636363636</v>
      </c>
      <c r="G81" s="79">
        <f t="shared" ref="G81:P81" si="65">F81</f>
        <v>76.36363636363636</v>
      </c>
      <c r="H81" s="79">
        <f t="shared" si="65"/>
        <v>76.36363636363636</v>
      </c>
      <c r="I81" s="79">
        <f t="shared" si="65"/>
        <v>76.36363636363636</v>
      </c>
      <c r="J81" s="79">
        <f t="shared" si="65"/>
        <v>76.36363636363636</v>
      </c>
      <c r="K81" s="79">
        <f t="shared" si="65"/>
        <v>76.36363636363636</v>
      </c>
      <c r="L81" s="79">
        <f t="shared" si="65"/>
        <v>76.36363636363636</v>
      </c>
      <c r="M81" s="79">
        <f t="shared" si="65"/>
        <v>76.36363636363636</v>
      </c>
      <c r="N81" s="79">
        <f t="shared" si="65"/>
        <v>76.36363636363636</v>
      </c>
      <c r="O81" s="79">
        <f t="shared" si="65"/>
        <v>76.36363636363636</v>
      </c>
      <c r="P81" s="183">
        <f t="shared" si="65"/>
        <v>76.36363636363636</v>
      </c>
    </row>
    <row r="82" spans="1:16" x14ac:dyDescent="0.3">
      <c r="A82" s="187" t="s">
        <v>121</v>
      </c>
      <c r="B82" s="157">
        <f>'YWLA Year 1 Budget'!C177</f>
        <v>5500</v>
      </c>
      <c r="C82" s="186">
        <f t="shared" si="48"/>
        <v>0</v>
      </c>
      <c r="D82" s="185">
        <f t="shared" si="60"/>
        <v>5500</v>
      </c>
      <c r="E82" s="184"/>
      <c r="F82" s="79">
        <f t="shared" si="64"/>
        <v>500</v>
      </c>
      <c r="G82" s="79">
        <f t="shared" ref="G82:P82" si="66">F82</f>
        <v>500</v>
      </c>
      <c r="H82" s="79">
        <f t="shared" si="66"/>
        <v>500</v>
      </c>
      <c r="I82" s="79">
        <f t="shared" si="66"/>
        <v>500</v>
      </c>
      <c r="J82" s="79">
        <f t="shared" si="66"/>
        <v>500</v>
      </c>
      <c r="K82" s="79">
        <f t="shared" si="66"/>
        <v>500</v>
      </c>
      <c r="L82" s="79">
        <f t="shared" si="66"/>
        <v>500</v>
      </c>
      <c r="M82" s="79">
        <f t="shared" si="66"/>
        <v>500</v>
      </c>
      <c r="N82" s="79">
        <f t="shared" si="66"/>
        <v>500</v>
      </c>
      <c r="O82" s="79">
        <f t="shared" si="66"/>
        <v>500</v>
      </c>
      <c r="P82" s="183">
        <f t="shared" si="66"/>
        <v>500</v>
      </c>
    </row>
    <row r="83" spans="1:16" x14ac:dyDescent="0.3">
      <c r="A83" s="187" t="s">
        <v>123</v>
      </c>
      <c r="B83" s="157">
        <f>'YWLA Year 1 Budget'!C179</f>
        <v>0</v>
      </c>
      <c r="C83" s="186">
        <f t="shared" si="48"/>
        <v>0</v>
      </c>
      <c r="D83" s="185">
        <f t="shared" si="60"/>
        <v>0</v>
      </c>
      <c r="E83" s="184"/>
      <c r="F83" s="79">
        <f t="shared" si="64"/>
        <v>0</v>
      </c>
      <c r="G83" s="79">
        <f t="shared" ref="G83:P84" si="67">F83</f>
        <v>0</v>
      </c>
      <c r="H83" s="79">
        <f t="shared" si="67"/>
        <v>0</v>
      </c>
      <c r="I83" s="79">
        <f t="shared" si="67"/>
        <v>0</v>
      </c>
      <c r="J83" s="79">
        <f t="shared" si="67"/>
        <v>0</v>
      </c>
      <c r="K83" s="79">
        <f t="shared" si="67"/>
        <v>0</v>
      </c>
      <c r="L83" s="79">
        <f t="shared" si="67"/>
        <v>0</v>
      </c>
      <c r="M83" s="79">
        <f t="shared" si="67"/>
        <v>0</v>
      </c>
      <c r="N83" s="79">
        <f t="shared" si="67"/>
        <v>0</v>
      </c>
      <c r="O83" s="79">
        <f t="shared" si="67"/>
        <v>0</v>
      </c>
      <c r="P83" s="183">
        <f t="shared" si="67"/>
        <v>0</v>
      </c>
    </row>
    <row r="84" spans="1:16" x14ac:dyDescent="0.3">
      <c r="A84" s="71" t="s">
        <v>124</v>
      </c>
      <c r="B84" s="157">
        <f>'YWLA Year 1 Budget'!C180</f>
        <v>0</v>
      </c>
      <c r="C84" s="186"/>
      <c r="D84" s="185">
        <f t="shared" si="60"/>
        <v>0</v>
      </c>
      <c r="E84" s="184"/>
      <c r="F84" s="79">
        <v>0</v>
      </c>
      <c r="G84" s="79">
        <f>B84/10</f>
        <v>0</v>
      </c>
      <c r="H84" s="79">
        <f>G84</f>
        <v>0</v>
      </c>
      <c r="I84" s="79">
        <f t="shared" si="67"/>
        <v>0</v>
      </c>
      <c r="J84" s="79">
        <f t="shared" si="67"/>
        <v>0</v>
      </c>
      <c r="K84" s="79">
        <f t="shared" si="67"/>
        <v>0</v>
      </c>
      <c r="L84" s="79">
        <f t="shared" si="67"/>
        <v>0</v>
      </c>
      <c r="M84" s="79">
        <f t="shared" si="67"/>
        <v>0</v>
      </c>
      <c r="N84" s="79">
        <f t="shared" si="67"/>
        <v>0</v>
      </c>
      <c r="O84" s="79">
        <f t="shared" si="67"/>
        <v>0</v>
      </c>
      <c r="P84" s="183">
        <f>O84</f>
        <v>0</v>
      </c>
    </row>
    <row r="85" spans="1:16" x14ac:dyDescent="0.3">
      <c r="A85" s="187" t="s">
        <v>125</v>
      </c>
      <c r="B85" s="157">
        <f>'YWLA Year 1 Budget'!C181</f>
        <v>1950</v>
      </c>
      <c r="C85" s="186">
        <f t="shared" si="48"/>
        <v>0</v>
      </c>
      <c r="D85" s="185">
        <f t="shared" si="60"/>
        <v>1950</v>
      </c>
      <c r="E85" s="184"/>
      <c r="F85" s="79">
        <f t="shared" si="64"/>
        <v>177.27272727272728</v>
      </c>
      <c r="G85" s="79">
        <f t="shared" ref="G85:P85" si="68">F85</f>
        <v>177.27272727272728</v>
      </c>
      <c r="H85" s="79">
        <f t="shared" si="68"/>
        <v>177.27272727272728</v>
      </c>
      <c r="I85" s="79">
        <f t="shared" si="68"/>
        <v>177.27272727272728</v>
      </c>
      <c r="J85" s="79">
        <f t="shared" si="68"/>
        <v>177.27272727272728</v>
      </c>
      <c r="K85" s="79">
        <f t="shared" si="68"/>
        <v>177.27272727272728</v>
      </c>
      <c r="L85" s="79">
        <f t="shared" si="68"/>
        <v>177.27272727272728</v>
      </c>
      <c r="M85" s="79">
        <f t="shared" si="68"/>
        <v>177.27272727272728</v>
      </c>
      <c r="N85" s="79">
        <f t="shared" si="68"/>
        <v>177.27272727272728</v>
      </c>
      <c r="O85" s="79">
        <f t="shared" si="68"/>
        <v>177.27272727272728</v>
      </c>
      <c r="P85" s="183">
        <f t="shared" si="68"/>
        <v>177.27272727272728</v>
      </c>
    </row>
    <row r="86" spans="1:16" x14ac:dyDescent="0.3">
      <c r="A86" s="187" t="s">
        <v>128</v>
      </c>
      <c r="B86" s="157">
        <f>'YWLA Year 1 Budget'!C184</f>
        <v>30000</v>
      </c>
      <c r="C86" s="186">
        <f t="shared" si="48"/>
        <v>0</v>
      </c>
      <c r="D86" s="185">
        <f t="shared" si="60"/>
        <v>30000.000000000004</v>
      </c>
      <c r="E86" s="184"/>
      <c r="F86" s="79">
        <f t="shared" si="64"/>
        <v>2727.2727272727275</v>
      </c>
      <c r="G86" s="79">
        <f t="shared" ref="G86:P86" si="69">F86</f>
        <v>2727.2727272727275</v>
      </c>
      <c r="H86" s="79">
        <f t="shared" si="69"/>
        <v>2727.2727272727275</v>
      </c>
      <c r="I86" s="79">
        <f t="shared" si="69"/>
        <v>2727.2727272727275</v>
      </c>
      <c r="J86" s="79">
        <f t="shared" si="69"/>
        <v>2727.2727272727275</v>
      </c>
      <c r="K86" s="79">
        <f t="shared" si="69"/>
        <v>2727.2727272727275</v>
      </c>
      <c r="L86" s="79">
        <f t="shared" si="69"/>
        <v>2727.2727272727275</v>
      </c>
      <c r="M86" s="79">
        <f t="shared" si="69"/>
        <v>2727.2727272727275</v>
      </c>
      <c r="N86" s="79">
        <f t="shared" si="69"/>
        <v>2727.2727272727275</v>
      </c>
      <c r="O86" s="79">
        <f t="shared" si="69"/>
        <v>2727.2727272727275</v>
      </c>
      <c r="P86" s="183">
        <f t="shared" si="69"/>
        <v>2727.2727272727275</v>
      </c>
    </row>
    <row r="87" spans="1:16" x14ac:dyDescent="0.3">
      <c r="A87" s="187" t="s">
        <v>129</v>
      </c>
      <c r="B87" s="157">
        <f>'YWLA Year 1 Budget'!C185</f>
        <v>0</v>
      </c>
      <c r="C87" s="186">
        <f t="shared" si="48"/>
        <v>0</v>
      </c>
      <c r="D87" s="185">
        <f t="shared" si="60"/>
        <v>0</v>
      </c>
      <c r="E87" s="184"/>
      <c r="F87" s="79">
        <f t="shared" si="64"/>
        <v>0</v>
      </c>
      <c r="G87" s="79">
        <f t="shared" ref="G87:P87" si="70">F87</f>
        <v>0</v>
      </c>
      <c r="H87" s="79">
        <f t="shared" si="70"/>
        <v>0</v>
      </c>
      <c r="I87" s="79">
        <f t="shared" si="70"/>
        <v>0</v>
      </c>
      <c r="J87" s="79">
        <f t="shared" si="70"/>
        <v>0</v>
      </c>
      <c r="K87" s="79">
        <f t="shared" si="70"/>
        <v>0</v>
      </c>
      <c r="L87" s="79">
        <f t="shared" si="70"/>
        <v>0</v>
      </c>
      <c r="M87" s="79">
        <f t="shared" si="70"/>
        <v>0</v>
      </c>
      <c r="N87" s="79">
        <f t="shared" si="70"/>
        <v>0</v>
      </c>
      <c r="O87" s="79">
        <f t="shared" si="70"/>
        <v>0</v>
      </c>
      <c r="P87" s="183">
        <f t="shared" si="70"/>
        <v>0</v>
      </c>
    </row>
    <row r="88" spans="1:16" x14ac:dyDescent="0.3">
      <c r="A88" s="187" t="s">
        <v>170</v>
      </c>
      <c r="B88" s="157">
        <f>'YWLA Year 1 Budget'!C186</f>
        <v>10000</v>
      </c>
      <c r="C88" s="186">
        <f t="shared" si="48"/>
        <v>0</v>
      </c>
      <c r="D88" s="185">
        <f t="shared" si="60"/>
        <v>10000.000000000002</v>
      </c>
      <c r="E88" s="184"/>
      <c r="F88" s="79">
        <f t="shared" si="64"/>
        <v>909.09090909090912</v>
      </c>
      <c r="G88" s="79">
        <f t="shared" ref="G88:P88" si="71">F88</f>
        <v>909.09090909090912</v>
      </c>
      <c r="H88" s="79">
        <f t="shared" si="71"/>
        <v>909.09090909090912</v>
      </c>
      <c r="I88" s="79">
        <f t="shared" si="71"/>
        <v>909.09090909090912</v>
      </c>
      <c r="J88" s="79">
        <f t="shared" si="71"/>
        <v>909.09090909090912</v>
      </c>
      <c r="K88" s="79">
        <f t="shared" si="71"/>
        <v>909.09090909090912</v>
      </c>
      <c r="L88" s="79">
        <f t="shared" si="71"/>
        <v>909.09090909090912</v>
      </c>
      <c r="M88" s="79">
        <f t="shared" si="71"/>
        <v>909.09090909090912</v>
      </c>
      <c r="N88" s="79">
        <f t="shared" si="71"/>
        <v>909.09090909090912</v>
      </c>
      <c r="O88" s="79">
        <f t="shared" si="71"/>
        <v>909.09090909090912</v>
      </c>
      <c r="P88" s="183">
        <f t="shared" si="71"/>
        <v>909.09090909090912</v>
      </c>
    </row>
    <row r="89" spans="1:16" x14ac:dyDescent="0.3">
      <c r="A89" s="187" t="s">
        <v>131</v>
      </c>
      <c r="B89" s="157">
        <f>'YWLA Year 1 Budget'!C187</f>
        <v>7500</v>
      </c>
      <c r="C89" s="186">
        <f t="shared" si="48"/>
        <v>0</v>
      </c>
      <c r="D89" s="185">
        <f t="shared" si="60"/>
        <v>7500.0000000000009</v>
      </c>
      <c r="E89" s="184"/>
      <c r="F89" s="79">
        <f t="shared" si="64"/>
        <v>681.81818181818187</v>
      </c>
      <c r="G89" s="79">
        <f t="shared" ref="G89:P89" si="72">F89</f>
        <v>681.81818181818187</v>
      </c>
      <c r="H89" s="79">
        <f t="shared" si="72"/>
        <v>681.81818181818187</v>
      </c>
      <c r="I89" s="79">
        <f t="shared" si="72"/>
        <v>681.81818181818187</v>
      </c>
      <c r="J89" s="79">
        <f t="shared" si="72"/>
        <v>681.81818181818187</v>
      </c>
      <c r="K89" s="79">
        <f t="shared" si="72"/>
        <v>681.81818181818187</v>
      </c>
      <c r="L89" s="79">
        <f t="shared" si="72"/>
        <v>681.81818181818187</v>
      </c>
      <c r="M89" s="79">
        <f t="shared" si="72"/>
        <v>681.81818181818187</v>
      </c>
      <c r="N89" s="79">
        <f t="shared" si="72"/>
        <v>681.81818181818187</v>
      </c>
      <c r="O89" s="79">
        <f t="shared" si="72"/>
        <v>681.81818181818187</v>
      </c>
      <c r="P89" s="183">
        <f t="shared" si="72"/>
        <v>681.81818181818187</v>
      </c>
    </row>
    <row r="90" spans="1:16" x14ac:dyDescent="0.3">
      <c r="A90" s="187" t="s">
        <v>132</v>
      </c>
      <c r="B90" s="157">
        <f>'YWLA Year 1 Budget'!C188</f>
        <v>5000</v>
      </c>
      <c r="C90" s="186">
        <f>D90-B90</f>
        <v>0</v>
      </c>
      <c r="D90" s="185">
        <f t="shared" si="60"/>
        <v>5000</v>
      </c>
      <c r="E90" s="184">
        <v>3000</v>
      </c>
      <c r="F90" s="79"/>
      <c r="G90" s="79">
        <f t="shared" ref="G90:J98" si="73">F90</f>
        <v>0</v>
      </c>
      <c r="H90" s="79">
        <f t="shared" si="73"/>
        <v>0</v>
      </c>
      <c r="I90" s="79">
        <f t="shared" si="73"/>
        <v>0</v>
      </c>
      <c r="J90" s="79">
        <f t="shared" si="73"/>
        <v>0</v>
      </c>
      <c r="K90" s="79">
        <v>2000</v>
      </c>
      <c r="L90" s="79"/>
      <c r="M90" s="79"/>
      <c r="N90" s="79"/>
      <c r="O90" s="79"/>
      <c r="P90" s="183"/>
    </row>
    <row r="91" spans="1:16" x14ac:dyDescent="0.3">
      <c r="A91" s="187" t="s">
        <v>133</v>
      </c>
      <c r="B91" s="157">
        <f>'YWLA Year 1 Budget'!C189</f>
        <v>41580.000000000015</v>
      </c>
      <c r="C91" s="186">
        <f>D91-B91</f>
        <v>0</v>
      </c>
      <c r="D91" s="185">
        <f t="shared" si="60"/>
        <v>41580.000000000007</v>
      </c>
      <c r="E91" s="184"/>
      <c r="F91" s="79">
        <f>B91/11</f>
        <v>3780.0000000000014</v>
      </c>
      <c r="G91" s="79">
        <f t="shared" si="73"/>
        <v>3780.0000000000014</v>
      </c>
      <c r="H91" s="79">
        <f t="shared" si="73"/>
        <v>3780.0000000000014</v>
      </c>
      <c r="I91" s="79">
        <f t="shared" si="73"/>
        <v>3780.0000000000014</v>
      </c>
      <c r="J91" s="79">
        <f t="shared" si="73"/>
        <v>3780.0000000000014</v>
      </c>
      <c r="K91" s="79">
        <f t="shared" ref="K91:P98" si="74">J91</f>
        <v>3780.0000000000014</v>
      </c>
      <c r="L91" s="79">
        <f t="shared" si="74"/>
        <v>3780.0000000000014</v>
      </c>
      <c r="M91" s="79">
        <f t="shared" si="74"/>
        <v>3780.0000000000014</v>
      </c>
      <c r="N91" s="79">
        <f t="shared" si="74"/>
        <v>3780.0000000000014</v>
      </c>
      <c r="O91" s="79">
        <f t="shared" si="74"/>
        <v>3780.0000000000014</v>
      </c>
      <c r="P91" s="183">
        <f t="shared" si="74"/>
        <v>3780.0000000000014</v>
      </c>
    </row>
    <row r="92" spans="1:16" x14ac:dyDescent="0.3">
      <c r="A92" s="187" t="s">
        <v>134</v>
      </c>
      <c r="B92" s="157">
        <f>'YWLA Year 1 Budget'!C190</f>
        <v>3520</v>
      </c>
      <c r="C92" s="186">
        <f>D92-B92</f>
        <v>0</v>
      </c>
      <c r="D92" s="185">
        <f>SUM(E92:P92)</f>
        <v>3519.9999999999977</v>
      </c>
      <c r="E92" s="184">
        <f>5000</f>
        <v>5000</v>
      </c>
      <c r="F92" s="79">
        <f>(B92-E92)/11</f>
        <v>-134.54545454545453</v>
      </c>
      <c r="G92" s="79">
        <f t="shared" si="73"/>
        <v>-134.54545454545453</v>
      </c>
      <c r="H92" s="79">
        <f t="shared" si="73"/>
        <v>-134.54545454545453</v>
      </c>
      <c r="I92" s="79">
        <f t="shared" si="73"/>
        <v>-134.54545454545453</v>
      </c>
      <c r="J92" s="79">
        <f t="shared" si="73"/>
        <v>-134.54545454545453</v>
      </c>
      <c r="K92" s="79">
        <f t="shared" si="74"/>
        <v>-134.54545454545453</v>
      </c>
      <c r="L92" s="79">
        <f t="shared" si="74"/>
        <v>-134.54545454545453</v>
      </c>
      <c r="M92" s="79">
        <f t="shared" si="74"/>
        <v>-134.54545454545453</v>
      </c>
      <c r="N92" s="79">
        <f t="shared" si="74"/>
        <v>-134.54545454545453</v>
      </c>
      <c r="O92" s="79">
        <f t="shared" si="74"/>
        <v>-134.54545454545453</v>
      </c>
      <c r="P92" s="183">
        <f t="shared" si="74"/>
        <v>-134.54545454545453</v>
      </c>
    </row>
    <row r="93" spans="1:16" x14ac:dyDescent="0.3">
      <c r="A93" s="187" t="s">
        <v>136</v>
      </c>
      <c r="B93" s="157">
        <f>'YWLA Year 1 Budget'!C191</f>
        <v>8500</v>
      </c>
      <c r="C93" s="186">
        <f>D93-B93</f>
        <v>0</v>
      </c>
      <c r="D93" s="185">
        <f>SUM(E93:P93)</f>
        <v>8500.0000000000018</v>
      </c>
      <c r="E93" s="184"/>
      <c r="F93" s="79">
        <f t="shared" ref="F93:F98" si="75">B93/11</f>
        <v>772.72727272727275</v>
      </c>
      <c r="G93" s="79">
        <f t="shared" si="73"/>
        <v>772.72727272727275</v>
      </c>
      <c r="H93" s="79">
        <f t="shared" si="73"/>
        <v>772.72727272727275</v>
      </c>
      <c r="I93" s="79">
        <f t="shared" si="73"/>
        <v>772.72727272727275</v>
      </c>
      <c r="J93" s="79">
        <f t="shared" si="73"/>
        <v>772.72727272727275</v>
      </c>
      <c r="K93" s="79">
        <f t="shared" si="74"/>
        <v>772.72727272727275</v>
      </c>
      <c r="L93" s="79">
        <f t="shared" si="74"/>
        <v>772.72727272727275</v>
      </c>
      <c r="M93" s="79">
        <f t="shared" si="74"/>
        <v>772.72727272727275</v>
      </c>
      <c r="N93" s="79">
        <f t="shared" si="74"/>
        <v>772.72727272727275</v>
      </c>
      <c r="O93" s="79">
        <f t="shared" si="74"/>
        <v>772.72727272727275</v>
      </c>
      <c r="P93" s="183">
        <f t="shared" si="74"/>
        <v>772.72727272727275</v>
      </c>
    </row>
    <row r="94" spans="1:16" x14ac:dyDescent="0.3">
      <c r="A94" s="187" t="s">
        <v>189</v>
      </c>
      <c r="B94" s="157">
        <f>'YWLA Year 1 Budget'!C192</f>
        <v>0</v>
      </c>
      <c r="C94" s="186"/>
      <c r="D94" s="185">
        <f>SUM(E94:P94)</f>
        <v>0</v>
      </c>
      <c r="E94" s="184"/>
      <c r="F94" s="79">
        <f t="shared" si="75"/>
        <v>0</v>
      </c>
      <c r="G94" s="79">
        <f t="shared" si="73"/>
        <v>0</v>
      </c>
      <c r="H94" s="79">
        <f t="shared" si="73"/>
        <v>0</v>
      </c>
      <c r="I94" s="79">
        <f t="shared" si="73"/>
        <v>0</v>
      </c>
      <c r="J94" s="79">
        <f t="shared" si="73"/>
        <v>0</v>
      </c>
      <c r="K94" s="79">
        <f t="shared" si="74"/>
        <v>0</v>
      </c>
      <c r="L94" s="79">
        <f t="shared" si="74"/>
        <v>0</v>
      </c>
      <c r="M94" s="79">
        <f t="shared" si="74"/>
        <v>0</v>
      </c>
      <c r="N94" s="79">
        <f t="shared" si="74"/>
        <v>0</v>
      </c>
      <c r="O94" s="79">
        <f t="shared" si="74"/>
        <v>0</v>
      </c>
      <c r="P94" s="183">
        <f t="shared" si="74"/>
        <v>0</v>
      </c>
    </row>
    <row r="95" spans="1:16" x14ac:dyDescent="0.3">
      <c r="A95" s="187" t="s">
        <v>138</v>
      </c>
      <c r="B95" s="157">
        <f>'YWLA Year 1 Budget'!C193</f>
        <v>6000</v>
      </c>
      <c r="C95" s="186">
        <f t="shared" ref="C95:C100" si="76">D95-B95</f>
        <v>0</v>
      </c>
      <c r="D95" s="185">
        <f t="shared" ref="D95:D100" si="77">SUM(E95:P95)</f>
        <v>6000.0000000000018</v>
      </c>
      <c r="E95" s="184"/>
      <c r="F95" s="79">
        <f t="shared" si="75"/>
        <v>545.4545454545455</v>
      </c>
      <c r="G95" s="79">
        <f t="shared" si="73"/>
        <v>545.4545454545455</v>
      </c>
      <c r="H95" s="79">
        <f t="shared" si="73"/>
        <v>545.4545454545455</v>
      </c>
      <c r="I95" s="79">
        <f t="shared" si="73"/>
        <v>545.4545454545455</v>
      </c>
      <c r="J95" s="79">
        <f t="shared" si="73"/>
        <v>545.4545454545455</v>
      </c>
      <c r="K95" s="79">
        <f t="shared" si="74"/>
        <v>545.4545454545455</v>
      </c>
      <c r="L95" s="79">
        <f t="shared" si="74"/>
        <v>545.4545454545455</v>
      </c>
      <c r="M95" s="79">
        <f t="shared" si="74"/>
        <v>545.4545454545455</v>
      </c>
      <c r="N95" s="79">
        <f t="shared" si="74"/>
        <v>545.4545454545455</v>
      </c>
      <c r="O95" s="79">
        <f t="shared" si="74"/>
        <v>545.4545454545455</v>
      </c>
      <c r="P95" s="183">
        <f t="shared" si="74"/>
        <v>545.4545454545455</v>
      </c>
    </row>
    <row r="96" spans="1:16" x14ac:dyDescent="0.3">
      <c r="A96" s="187" t="s">
        <v>139</v>
      </c>
      <c r="B96" s="157">
        <f>'YWLA Year 1 Budget'!C194</f>
        <v>7500</v>
      </c>
      <c r="C96" s="186">
        <f t="shared" si="76"/>
        <v>0</v>
      </c>
      <c r="D96" s="185">
        <f t="shared" si="77"/>
        <v>7500.0000000000009</v>
      </c>
      <c r="E96" s="184"/>
      <c r="F96" s="79">
        <f t="shared" si="75"/>
        <v>681.81818181818187</v>
      </c>
      <c r="G96" s="79">
        <f t="shared" si="73"/>
        <v>681.81818181818187</v>
      </c>
      <c r="H96" s="79">
        <f t="shared" si="73"/>
        <v>681.81818181818187</v>
      </c>
      <c r="I96" s="79">
        <f t="shared" si="73"/>
        <v>681.81818181818187</v>
      </c>
      <c r="J96" s="79">
        <f t="shared" si="73"/>
        <v>681.81818181818187</v>
      </c>
      <c r="K96" s="79">
        <f t="shared" si="74"/>
        <v>681.81818181818187</v>
      </c>
      <c r="L96" s="79">
        <f t="shared" si="74"/>
        <v>681.81818181818187</v>
      </c>
      <c r="M96" s="79">
        <f t="shared" si="74"/>
        <v>681.81818181818187</v>
      </c>
      <c r="N96" s="79">
        <f t="shared" si="74"/>
        <v>681.81818181818187</v>
      </c>
      <c r="O96" s="79">
        <f t="shared" si="74"/>
        <v>681.81818181818187</v>
      </c>
      <c r="P96" s="183">
        <f t="shared" si="74"/>
        <v>681.81818181818187</v>
      </c>
    </row>
    <row r="97" spans="1:17" x14ac:dyDescent="0.3">
      <c r="A97" s="138" t="s">
        <v>218</v>
      </c>
      <c r="B97" s="157">
        <f>'YWLA Year 1 Budget'!C200</f>
        <v>50416.666666666664</v>
      </c>
      <c r="C97" s="186">
        <f t="shared" si="76"/>
        <v>0</v>
      </c>
      <c r="D97" s="185">
        <f t="shared" si="77"/>
        <v>50416.666666666672</v>
      </c>
      <c r="E97" s="184"/>
      <c r="F97" s="79">
        <f t="shared" si="75"/>
        <v>4583.333333333333</v>
      </c>
      <c r="G97" s="79">
        <f t="shared" si="73"/>
        <v>4583.333333333333</v>
      </c>
      <c r="H97" s="79">
        <f t="shared" si="73"/>
        <v>4583.333333333333</v>
      </c>
      <c r="I97" s="79">
        <f t="shared" si="73"/>
        <v>4583.333333333333</v>
      </c>
      <c r="J97" s="79">
        <f t="shared" si="73"/>
        <v>4583.333333333333</v>
      </c>
      <c r="K97" s="79">
        <f t="shared" si="74"/>
        <v>4583.333333333333</v>
      </c>
      <c r="L97" s="79">
        <f t="shared" si="74"/>
        <v>4583.333333333333</v>
      </c>
      <c r="M97" s="79">
        <f t="shared" si="74"/>
        <v>4583.333333333333</v>
      </c>
      <c r="N97" s="79">
        <f t="shared" si="74"/>
        <v>4583.333333333333</v>
      </c>
      <c r="O97" s="79">
        <f t="shared" si="74"/>
        <v>4583.333333333333</v>
      </c>
      <c r="P97" s="183">
        <f t="shared" si="74"/>
        <v>4583.333333333333</v>
      </c>
    </row>
    <row r="98" spans="1:17" x14ac:dyDescent="0.3">
      <c r="A98" s="138" t="s">
        <v>142</v>
      </c>
      <c r="B98" s="157">
        <f>'YWLA Year 1 Budget'!C201</f>
        <v>0</v>
      </c>
      <c r="C98" s="186">
        <f t="shared" si="76"/>
        <v>0</v>
      </c>
      <c r="D98" s="185">
        <f t="shared" si="77"/>
        <v>0</v>
      </c>
      <c r="E98" s="184"/>
      <c r="F98" s="79">
        <f t="shared" si="75"/>
        <v>0</v>
      </c>
      <c r="G98" s="79">
        <f t="shared" si="73"/>
        <v>0</v>
      </c>
      <c r="H98" s="79">
        <f t="shared" si="73"/>
        <v>0</v>
      </c>
      <c r="I98" s="79">
        <f t="shared" si="73"/>
        <v>0</v>
      </c>
      <c r="J98" s="79">
        <f t="shared" si="73"/>
        <v>0</v>
      </c>
      <c r="K98" s="79">
        <f t="shared" si="74"/>
        <v>0</v>
      </c>
      <c r="L98" s="79">
        <f t="shared" si="74"/>
        <v>0</v>
      </c>
      <c r="M98" s="79">
        <f t="shared" si="74"/>
        <v>0</v>
      </c>
      <c r="N98" s="79">
        <f t="shared" si="74"/>
        <v>0</v>
      </c>
      <c r="O98" s="79">
        <f t="shared" si="74"/>
        <v>0</v>
      </c>
      <c r="P98" s="183">
        <f t="shared" si="74"/>
        <v>0</v>
      </c>
    </row>
    <row r="99" spans="1:17" x14ac:dyDescent="0.3">
      <c r="A99" s="138" t="s">
        <v>143</v>
      </c>
      <c r="B99" s="157">
        <f>'YWLA Year 1 Budget'!C202</f>
        <v>0</v>
      </c>
      <c r="C99" s="186">
        <f t="shared" si="76"/>
        <v>0</v>
      </c>
      <c r="D99" s="185">
        <f t="shared" si="77"/>
        <v>0</v>
      </c>
      <c r="E99" s="184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183"/>
    </row>
    <row r="100" spans="1:17" ht="15" thickBot="1" x14ac:dyDescent="0.35">
      <c r="A100" s="182" t="s">
        <v>169</v>
      </c>
      <c r="B100" s="157">
        <f>'YWLA Year 1 Budget'!C203</f>
        <v>0</v>
      </c>
      <c r="C100" s="181">
        <f t="shared" si="76"/>
        <v>0</v>
      </c>
      <c r="D100" s="180">
        <f t="shared" si="77"/>
        <v>0</v>
      </c>
      <c r="E100" s="179"/>
      <c r="F100" s="49"/>
      <c r="G100" s="49"/>
      <c r="H100" s="49"/>
      <c r="I100" s="49"/>
      <c r="J100" s="49"/>
      <c r="K100" s="49">
        <f>B100/2</f>
        <v>0</v>
      </c>
      <c r="L100" s="49"/>
      <c r="M100" s="49"/>
      <c r="N100" s="49"/>
      <c r="O100" s="49"/>
      <c r="P100" s="178">
        <f>B100/2</f>
        <v>0</v>
      </c>
      <c r="Q100" s="171"/>
    </row>
    <row r="101" spans="1:17" ht="15" thickBot="1" x14ac:dyDescent="0.35">
      <c r="A101" s="117" t="s">
        <v>190</v>
      </c>
      <c r="B101" s="212">
        <f t="shared" ref="B101:P101" si="78">SUM(B19:B100)</f>
        <v>1336013.128166667</v>
      </c>
      <c r="C101" s="212">
        <f t="shared" si="78"/>
        <v>-28654.483333333439</v>
      </c>
      <c r="D101" s="212">
        <f t="shared" si="78"/>
        <v>1307358.6448333333</v>
      </c>
      <c r="E101" s="212">
        <f t="shared" si="78"/>
        <v>62865.067625000003</v>
      </c>
      <c r="F101" s="212">
        <f t="shared" si="78"/>
        <v>115489.41610984845</v>
      </c>
      <c r="G101" s="212">
        <f t="shared" si="78"/>
        <v>128339.41610984845</v>
      </c>
      <c r="H101" s="212">
        <f t="shared" si="78"/>
        <v>109854.41610984845</v>
      </c>
      <c r="I101" s="212">
        <f t="shared" si="78"/>
        <v>109854.41610984845</v>
      </c>
      <c r="J101" s="212">
        <f t="shared" si="78"/>
        <v>109854.41610984845</v>
      </c>
      <c r="K101" s="212">
        <f t="shared" si="78"/>
        <v>120104.41610984845</v>
      </c>
      <c r="L101" s="212">
        <f t="shared" si="78"/>
        <v>109854.41610984845</v>
      </c>
      <c r="M101" s="212">
        <f t="shared" si="78"/>
        <v>109854.41610984845</v>
      </c>
      <c r="N101" s="212">
        <f t="shared" si="78"/>
        <v>109854.41610984845</v>
      </c>
      <c r="O101" s="212">
        <f t="shared" si="78"/>
        <v>109854.41610984845</v>
      </c>
      <c r="P101" s="213">
        <f t="shared" si="78"/>
        <v>111579.41610984845</v>
      </c>
      <c r="Q101" s="177"/>
    </row>
    <row r="102" spans="1:17" x14ac:dyDescent="0.3">
      <c r="D102" s="176" t="s">
        <v>220</v>
      </c>
      <c r="E102" s="211">
        <f t="shared" ref="E102:P102" si="79">E16-E101</f>
        <v>103989.08237500003</v>
      </c>
      <c r="F102" s="211">
        <f t="shared" si="79"/>
        <v>51364.733890151576</v>
      </c>
      <c r="G102" s="211">
        <f t="shared" si="79"/>
        <v>-52392.314109848434</v>
      </c>
      <c r="H102" s="211">
        <f t="shared" si="79"/>
        <v>12735.030334595998</v>
      </c>
      <c r="I102" s="211">
        <f t="shared" si="79"/>
        <v>12735.030334595998</v>
      </c>
      <c r="J102" s="211">
        <f t="shared" si="79"/>
        <v>12735.030334595998</v>
      </c>
      <c r="K102" s="211">
        <f t="shared" si="79"/>
        <v>2485.0303345959983</v>
      </c>
      <c r="L102" s="211">
        <f t="shared" si="79"/>
        <v>57150.905334595998</v>
      </c>
      <c r="M102" s="211">
        <f t="shared" si="79"/>
        <v>12735.030334595998</v>
      </c>
      <c r="N102" s="211">
        <f t="shared" si="79"/>
        <v>12735.030334595998</v>
      </c>
      <c r="O102" s="211">
        <f t="shared" si="79"/>
        <v>24373.655334595998</v>
      </c>
      <c r="P102" s="211">
        <f t="shared" si="79"/>
        <v>11010.030334595998</v>
      </c>
      <c r="Q102" s="175"/>
    </row>
    <row r="103" spans="1:17" ht="15" thickBot="1" x14ac:dyDescent="0.35">
      <c r="C103"/>
      <c r="D103" s="174" t="s">
        <v>168</v>
      </c>
      <c r="E103" s="271">
        <f>E102</f>
        <v>103989.08237500003</v>
      </c>
      <c r="F103" s="271">
        <f t="shared" ref="F103:P103" si="80">E103+F102</f>
        <v>155353.8162651516</v>
      </c>
      <c r="G103" s="271">
        <f t="shared" si="80"/>
        <v>102961.50215530317</v>
      </c>
      <c r="H103" s="271">
        <f t="shared" si="80"/>
        <v>115696.53248989917</v>
      </c>
      <c r="I103" s="271">
        <f t="shared" si="80"/>
        <v>128431.56282449517</v>
      </c>
      <c r="J103" s="271">
        <f t="shared" si="80"/>
        <v>141166.59315909116</v>
      </c>
      <c r="K103" s="271">
        <f t="shared" si="80"/>
        <v>143651.62349368716</v>
      </c>
      <c r="L103" s="271">
        <f t="shared" si="80"/>
        <v>200802.52882828316</v>
      </c>
      <c r="M103" s="271">
        <f t="shared" si="80"/>
        <v>213537.55916287916</v>
      </c>
      <c r="N103" s="271">
        <f t="shared" si="80"/>
        <v>226272.58949747516</v>
      </c>
      <c r="O103" s="271">
        <f t="shared" si="80"/>
        <v>250646.24483207116</v>
      </c>
      <c r="P103" s="271">
        <f t="shared" si="80"/>
        <v>261656.27516666715</v>
      </c>
      <c r="Q103" s="173"/>
    </row>
    <row r="104" spans="1:17" ht="15" thickTop="1" x14ac:dyDescent="0.3">
      <c r="Q104" s="171"/>
    </row>
    <row r="105" spans="1:17" ht="15.6" x14ac:dyDescent="0.3">
      <c r="A105" s="172" t="s">
        <v>167</v>
      </c>
      <c r="Q105" s="171"/>
    </row>
    <row r="106" spans="1:17" x14ac:dyDescent="0.3">
      <c r="P106" s="170">
        <f>P103+C101</f>
        <v>233001.79183333373</v>
      </c>
    </row>
    <row r="107" spans="1:17" x14ac:dyDescent="0.3">
      <c r="P107" s="170">
        <f>P106-'YWLA Year 1 Budget'!C205</f>
        <v>4.3655745685100555E-10</v>
      </c>
    </row>
  </sheetData>
  <pageMargins left="0.7" right="0.7" top="0.75" bottom="0.75" header="0.3" footer="0.3"/>
  <pageSetup scale="46" orientation="landscape" r:id="rId1"/>
  <rowBreaks count="1" manualBreakCount="1">
    <brk id="61" max="1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K215"/>
  <sheetViews>
    <sheetView topLeftCell="A67" zoomScale="75" zoomScaleNormal="75" workbookViewId="0">
      <selection activeCell="C84" sqref="C84:C95"/>
    </sheetView>
  </sheetViews>
  <sheetFormatPr defaultColWidth="8.77734375" defaultRowHeight="14.4" x14ac:dyDescent="0.3"/>
  <cols>
    <col min="1" max="1" width="8.77734375" style="5"/>
    <col min="2" max="2" width="47.5546875" bestFit="1" customWidth="1"/>
    <col min="3" max="3" width="13.77734375" style="125" customWidth="1"/>
    <col min="4" max="4" width="25.44140625" style="11" customWidth="1"/>
    <col min="5" max="5" width="20.77734375" hidden="1" customWidth="1"/>
    <col min="6" max="6" width="14.5546875" hidden="1" customWidth="1"/>
    <col min="7" max="7" width="15.44140625" hidden="1" customWidth="1"/>
    <col min="8" max="8" width="12.44140625" hidden="1" customWidth="1"/>
    <col min="9" max="10" width="0" hidden="1" customWidth="1"/>
  </cols>
  <sheetData>
    <row r="1" spans="1:6" s="2" customFormat="1" ht="15" thickBot="1" x14ac:dyDescent="0.35">
      <c r="A1" s="1"/>
      <c r="B1" s="2" t="str">
        <f>'6-Year (auto-populated)'!B1</f>
        <v xml:space="preserve">Young Women's Leadership Academy </v>
      </c>
      <c r="C1" s="2" t="str">
        <f>'6-Year (auto-populated)'!D1</f>
        <v>22-23</v>
      </c>
      <c r="D1" s="4"/>
    </row>
    <row r="2" spans="1:6" x14ac:dyDescent="0.3">
      <c r="B2" s="6" t="s">
        <v>0</v>
      </c>
      <c r="C2" s="7">
        <f>'6-Year (auto-populated)'!D2</f>
        <v>7293.18</v>
      </c>
      <c r="D2" s="8"/>
    </row>
    <row r="3" spans="1:6" x14ac:dyDescent="0.3">
      <c r="B3" s="9" t="s">
        <v>1</v>
      </c>
      <c r="C3" s="10">
        <f>C4+C5+C6+C7+C8+C9+C10+C11+C12+C13+C14+C15+C16</f>
        <v>110</v>
      </c>
    </row>
    <row r="4" spans="1:6" x14ac:dyDescent="0.3">
      <c r="B4" s="12" t="s">
        <v>2</v>
      </c>
      <c r="C4" s="13">
        <f>'6-Year (auto-populated)'!D6</f>
        <v>0</v>
      </c>
    </row>
    <row r="5" spans="1:6" x14ac:dyDescent="0.3">
      <c r="B5" s="15" t="s">
        <v>3</v>
      </c>
      <c r="C5" s="13">
        <f>'6-Year (auto-populated)'!D7</f>
        <v>0</v>
      </c>
    </row>
    <row r="6" spans="1:6" x14ac:dyDescent="0.3">
      <c r="B6" s="15" t="s">
        <v>4</v>
      </c>
      <c r="C6" s="13">
        <f>'6-Year (auto-populated)'!D8</f>
        <v>0</v>
      </c>
    </row>
    <row r="7" spans="1:6" x14ac:dyDescent="0.3">
      <c r="B7" s="16" t="s">
        <v>5</v>
      </c>
      <c r="C7" s="13">
        <f>'6-Year (auto-populated)'!D9</f>
        <v>0</v>
      </c>
    </row>
    <row r="8" spans="1:6" x14ac:dyDescent="0.3">
      <c r="B8" s="16" t="s">
        <v>6</v>
      </c>
      <c r="C8" s="13">
        <f>'6-Year (auto-populated)'!D10</f>
        <v>0</v>
      </c>
    </row>
    <row r="9" spans="1:6" x14ac:dyDescent="0.3">
      <c r="B9" s="16" t="s">
        <v>7</v>
      </c>
      <c r="C9" s="13">
        <f>'6-Year (auto-populated)'!D11</f>
        <v>0</v>
      </c>
    </row>
    <row r="10" spans="1:6" x14ac:dyDescent="0.3">
      <c r="B10" s="16" t="s">
        <v>8</v>
      </c>
      <c r="C10" s="13">
        <f>'6-Year (auto-populated)'!D12</f>
        <v>80</v>
      </c>
      <c r="D10" s="11">
        <v>4</v>
      </c>
      <c r="E10" s="13">
        <f>25*4</f>
        <v>100</v>
      </c>
      <c r="F10" s="266">
        <f t="shared" ref="F10:F11" si="0">C10/4</f>
        <v>20</v>
      </c>
    </row>
    <row r="11" spans="1:6" x14ac:dyDescent="0.3">
      <c r="B11" s="16" t="s">
        <v>9</v>
      </c>
      <c r="C11" s="13">
        <f>'6-Year (auto-populated)'!D13</f>
        <v>0</v>
      </c>
      <c r="D11" s="11">
        <v>4</v>
      </c>
      <c r="E11" s="13">
        <f>25*4</f>
        <v>100</v>
      </c>
      <c r="F11" s="266">
        <f t="shared" si="0"/>
        <v>0</v>
      </c>
    </row>
    <row r="12" spans="1:6" x14ac:dyDescent="0.3">
      <c r="B12" s="16" t="s">
        <v>10</v>
      </c>
      <c r="C12" s="13">
        <f>'6-Year (auto-populated)'!D14</f>
        <v>0</v>
      </c>
      <c r="D12" s="11">
        <v>4</v>
      </c>
      <c r="E12" s="13">
        <f>25*4</f>
        <v>100</v>
      </c>
      <c r="F12" s="266">
        <f>C12/4</f>
        <v>0</v>
      </c>
    </row>
    <row r="13" spans="1:6" x14ac:dyDescent="0.3">
      <c r="B13" s="16" t="s">
        <v>11</v>
      </c>
      <c r="C13" s="13">
        <f>'6-Year (auto-populated)'!D15</f>
        <v>30</v>
      </c>
      <c r="D13" s="11">
        <v>3</v>
      </c>
      <c r="E13" s="13">
        <f>F13*3</f>
        <v>30</v>
      </c>
      <c r="F13" s="266">
        <f>C13/3</f>
        <v>10</v>
      </c>
    </row>
    <row r="14" spans="1:6" x14ac:dyDescent="0.3">
      <c r="B14" s="16" t="s">
        <v>12</v>
      </c>
      <c r="C14" s="13">
        <f>'6-Year (auto-populated)'!D16</f>
        <v>0</v>
      </c>
    </row>
    <row r="15" spans="1:6" x14ac:dyDescent="0.3">
      <c r="B15" s="16" t="s">
        <v>13</v>
      </c>
      <c r="C15" s="13">
        <f>'6-Year (auto-populated)'!D17</f>
        <v>0</v>
      </c>
    </row>
    <row r="16" spans="1:6" x14ac:dyDescent="0.3">
      <c r="B16" s="16" t="s">
        <v>14</v>
      </c>
      <c r="C16" s="13">
        <f>'6-Year (auto-populated)'!D18</f>
        <v>0</v>
      </c>
    </row>
    <row r="17" spans="1:6" x14ac:dyDescent="0.3">
      <c r="B17" s="16" t="s">
        <v>1</v>
      </c>
      <c r="C17" s="10">
        <f>SUM(C4:C16)</f>
        <v>110</v>
      </c>
      <c r="E17" s="14">
        <f>SUM(E4:E16)</f>
        <v>330</v>
      </c>
      <c r="F17" s="14">
        <f>C17-E17</f>
        <v>-220</v>
      </c>
    </row>
    <row r="18" spans="1:6" x14ac:dyDescent="0.3">
      <c r="B18" s="17"/>
      <c r="C18" s="7"/>
      <c r="D18" s="18"/>
    </row>
    <row r="19" spans="1:6" x14ac:dyDescent="0.3">
      <c r="B19" s="19" t="s">
        <v>15</v>
      </c>
      <c r="C19" s="20"/>
      <c r="D19" s="18"/>
    </row>
    <row r="20" spans="1:6" x14ac:dyDescent="0.3">
      <c r="B20" s="411" t="s">
        <v>336</v>
      </c>
      <c r="C20" s="7">
        <f>'6-Year (auto-populated)'!D22</f>
        <v>13.2</v>
      </c>
      <c r="D20" s="21">
        <f>C20/C17</f>
        <v>0.12</v>
      </c>
      <c r="E20" s="14">
        <f>E17*0.14</f>
        <v>46.2</v>
      </c>
    </row>
    <row r="21" spans="1:6" x14ac:dyDescent="0.3">
      <c r="B21" s="411" t="s">
        <v>418</v>
      </c>
      <c r="C21" s="7">
        <f>'6-Year (auto-populated)'!D23</f>
        <v>23.099999999999998</v>
      </c>
      <c r="D21" s="21"/>
    </row>
    <row r="22" spans="1:6" x14ac:dyDescent="0.3">
      <c r="B22" s="411" t="s">
        <v>337</v>
      </c>
      <c r="C22" s="7">
        <f>'6-Year (auto-populated)'!D24</f>
        <v>0</v>
      </c>
      <c r="D22" s="18"/>
    </row>
    <row r="23" spans="1:6" x14ac:dyDescent="0.3">
      <c r="B23" s="411" t="s">
        <v>17</v>
      </c>
      <c r="C23" s="22">
        <f>'6-Year (auto-populated)'!D25</f>
        <v>0.86</v>
      </c>
      <c r="D23" s="23"/>
    </row>
    <row r="24" spans="1:6" x14ac:dyDescent="0.3">
      <c r="B24" s="411" t="s">
        <v>338</v>
      </c>
      <c r="C24" s="7">
        <f>'6-Year (auto-populated)'!D26</f>
        <v>63.382000000000005</v>
      </c>
      <c r="D24" s="23"/>
    </row>
    <row r="25" spans="1:6" x14ac:dyDescent="0.3">
      <c r="B25" s="24"/>
      <c r="C25" s="7"/>
      <c r="D25" s="18"/>
    </row>
    <row r="26" spans="1:6" x14ac:dyDescent="0.3">
      <c r="B26" s="19" t="s">
        <v>18</v>
      </c>
      <c r="C26" s="20"/>
      <c r="D26" s="18"/>
    </row>
    <row r="27" spans="1:6" x14ac:dyDescent="0.3">
      <c r="B27" s="25" t="s">
        <v>19</v>
      </c>
      <c r="C27" s="26">
        <f>'6-Year (auto-populated)'!D29</f>
        <v>4</v>
      </c>
      <c r="D27" s="21">
        <f>C27/6</f>
        <v>0.66666666666666663</v>
      </c>
    </row>
    <row r="28" spans="1:6" s="29" customFormat="1" x14ac:dyDescent="0.3">
      <c r="A28" s="27"/>
      <c r="B28" s="25" t="s">
        <v>20</v>
      </c>
      <c r="C28" s="26">
        <f>'6-Year (auto-populated)'!D30</f>
        <v>1</v>
      </c>
      <c r="D28" s="28">
        <f>(C17*0.1)/22</f>
        <v>0.5</v>
      </c>
    </row>
    <row r="29" spans="1:6" x14ac:dyDescent="0.3">
      <c r="B29" s="25" t="s">
        <v>21</v>
      </c>
      <c r="C29" s="26">
        <f>'6-Year (auto-populated)'!D31</f>
        <v>0</v>
      </c>
      <c r="D29" s="18"/>
    </row>
    <row r="30" spans="1:6" x14ac:dyDescent="0.3">
      <c r="B30" s="25" t="s">
        <v>22</v>
      </c>
      <c r="C30" s="26">
        <f>'6-Year (auto-populated)'!D32</f>
        <v>0</v>
      </c>
      <c r="D30" s="18"/>
    </row>
    <row r="31" spans="1:6" x14ac:dyDescent="0.3">
      <c r="B31" s="25" t="s">
        <v>23</v>
      </c>
      <c r="C31" s="26">
        <f>'6-Year (auto-populated)'!D33</f>
        <v>0</v>
      </c>
    </row>
    <row r="32" spans="1:6" x14ac:dyDescent="0.3">
      <c r="B32" s="30" t="s">
        <v>24</v>
      </c>
      <c r="C32" s="26">
        <f>'6-Year (auto-populated)'!D34</f>
        <v>0</v>
      </c>
    </row>
    <row r="33" spans="2:4" x14ac:dyDescent="0.3">
      <c r="B33" s="30" t="s">
        <v>25</v>
      </c>
      <c r="C33" s="26">
        <f>'6-Year (auto-populated)'!D35</f>
        <v>0</v>
      </c>
    </row>
    <row r="34" spans="2:4" x14ac:dyDescent="0.3">
      <c r="B34" s="30" t="s">
        <v>26</v>
      </c>
      <c r="C34" s="26">
        <f>'6-Year (auto-populated)'!D36</f>
        <v>0</v>
      </c>
    </row>
    <row r="35" spans="2:4" x14ac:dyDescent="0.3">
      <c r="B35" s="31" t="s">
        <v>27</v>
      </c>
      <c r="C35" s="32">
        <f>SUM(C27:C34)</f>
        <v>5</v>
      </c>
    </row>
    <row r="36" spans="2:4" x14ac:dyDescent="0.3">
      <c r="B36" s="33"/>
      <c r="C36" s="7"/>
    </row>
    <row r="37" spans="2:4" x14ac:dyDescent="0.3">
      <c r="B37" s="19" t="s">
        <v>28</v>
      </c>
      <c r="C37" s="34" t="str">
        <f>C1</f>
        <v>22-23</v>
      </c>
      <c r="D37" s="4"/>
    </row>
    <row r="38" spans="2:4" hidden="1" x14ac:dyDescent="0.3">
      <c r="B38" s="25" t="s">
        <v>29</v>
      </c>
      <c r="C38" s="35">
        <v>0</v>
      </c>
    </row>
    <row r="39" spans="2:4" x14ac:dyDescent="0.3">
      <c r="B39" s="25" t="s">
        <v>30</v>
      </c>
      <c r="C39" s="26">
        <f>'6-Year (auto-populated)'!D41</f>
        <v>1</v>
      </c>
    </row>
    <row r="40" spans="2:4" x14ac:dyDescent="0.3">
      <c r="B40" s="25" t="s">
        <v>31</v>
      </c>
      <c r="C40" s="26">
        <f>'6-Year (auto-populated)'!D42</f>
        <v>0</v>
      </c>
    </row>
    <row r="41" spans="2:4" x14ac:dyDescent="0.3">
      <c r="B41" s="25" t="s">
        <v>413</v>
      </c>
      <c r="C41" s="26">
        <f>'6-Year (auto-populated)'!D43</f>
        <v>1</v>
      </c>
    </row>
    <row r="42" spans="2:4" x14ac:dyDescent="0.3">
      <c r="B42" s="36" t="s">
        <v>412</v>
      </c>
      <c r="C42" s="26">
        <f>'6-Year (auto-populated)'!D44</f>
        <v>0</v>
      </c>
    </row>
    <row r="43" spans="2:4" x14ac:dyDescent="0.3">
      <c r="B43" s="36" t="s">
        <v>415</v>
      </c>
      <c r="C43" s="26">
        <f>'6-Year (auto-populated)'!D45</f>
        <v>0</v>
      </c>
    </row>
    <row r="44" spans="2:4" x14ac:dyDescent="0.3">
      <c r="B44" s="25" t="s">
        <v>32</v>
      </c>
      <c r="C44" s="26">
        <f>'6-Year (auto-populated)'!D46</f>
        <v>1</v>
      </c>
    </row>
    <row r="45" spans="2:4" x14ac:dyDescent="0.3">
      <c r="B45" s="25" t="s">
        <v>33</v>
      </c>
      <c r="C45" s="26">
        <f>'6-Year (auto-populated)'!D47</f>
        <v>0</v>
      </c>
    </row>
    <row r="46" spans="2:4" x14ac:dyDescent="0.3">
      <c r="B46" s="25" t="s">
        <v>34</v>
      </c>
      <c r="C46" s="26">
        <f>'6-Year (auto-populated)'!D48</f>
        <v>0</v>
      </c>
    </row>
    <row r="47" spans="2:4" x14ac:dyDescent="0.3">
      <c r="B47" s="25" t="s">
        <v>35</v>
      </c>
      <c r="C47" s="26">
        <f>'6-Year (auto-populated)'!D49</f>
        <v>0</v>
      </c>
    </row>
    <row r="48" spans="2:4" x14ac:dyDescent="0.3">
      <c r="B48" s="25" t="s">
        <v>427</v>
      </c>
      <c r="C48" s="26">
        <f>'6-Year (auto-populated)'!D50</f>
        <v>2</v>
      </c>
    </row>
    <row r="49" spans="2:4" x14ac:dyDescent="0.3">
      <c r="B49" s="25" t="s">
        <v>36</v>
      </c>
      <c r="C49" s="26">
        <f>'6-Year (auto-populated)'!D51</f>
        <v>0</v>
      </c>
    </row>
    <row r="50" spans="2:4" x14ac:dyDescent="0.3">
      <c r="B50" s="25" t="s">
        <v>414</v>
      </c>
      <c r="C50" s="26">
        <f>'6-Year (auto-populated)'!D52</f>
        <v>1</v>
      </c>
    </row>
    <row r="51" spans="2:4" x14ac:dyDescent="0.3">
      <c r="B51" s="37" t="s">
        <v>37</v>
      </c>
      <c r="C51" s="26">
        <f>'6-Year (auto-populated)'!D53</f>
        <v>0</v>
      </c>
    </row>
    <row r="52" spans="2:4" x14ac:dyDescent="0.3">
      <c r="B52" s="37" t="s">
        <v>38</v>
      </c>
      <c r="C52" s="26">
        <f>'6-Year (auto-populated)'!D54</f>
        <v>0</v>
      </c>
    </row>
    <row r="53" spans="2:4" x14ac:dyDescent="0.3">
      <c r="B53" s="37" t="s">
        <v>39</v>
      </c>
      <c r="C53" s="26">
        <f>'6-Year (auto-populated)'!D55</f>
        <v>0</v>
      </c>
    </row>
    <row r="54" spans="2:4" x14ac:dyDescent="0.3">
      <c r="B54" s="37" t="s">
        <v>40</v>
      </c>
      <c r="C54" s="26">
        <f>'6-Year (auto-populated)'!D56</f>
        <v>0</v>
      </c>
    </row>
    <row r="55" spans="2:4" x14ac:dyDescent="0.3">
      <c r="B55" s="37" t="s">
        <v>70</v>
      </c>
      <c r="C55" s="26">
        <f>'6-Year (auto-populated)'!D57</f>
        <v>0</v>
      </c>
      <c r="D55" s="38"/>
    </row>
    <row r="56" spans="2:4" x14ac:dyDescent="0.3">
      <c r="B56" s="37" t="s">
        <v>417</v>
      </c>
      <c r="C56" s="26">
        <f>'6-Year (auto-populated)'!D58</f>
        <v>1</v>
      </c>
    </row>
    <row r="57" spans="2:4" x14ac:dyDescent="0.3">
      <c r="B57" s="39"/>
      <c r="C57" s="35"/>
    </row>
    <row r="58" spans="2:4" x14ac:dyDescent="0.3">
      <c r="B58" s="31" t="s">
        <v>41</v>
      </c>
      <c r="C58" s="40">
        <f>SUM(C38:C57)</f>
        <v>7</v>
      </c>
    </row>
    <row r="59" spans="2:4" ht="15" thickBot="1" x14ac:dyDescent="0.35">
      <c r="B59" s="41"/>
      <c r="C59" s="42"/>
    </row>
    <row r="60" spans="2:4" x14ac:dyDescent="0.3">
      <c r="B60" s="43" t="s">
        <v>42</v>
      </c>
      <c r="C60" s="44">
        <f>C35</f>
        <v>5</v>
      </c>
    </row>
    <row r="61" spans="2:4" ht="15" thickBot="1" x14ac:dyDescent="0.35">
      <c r="B61" s="45" t="s">
        <v>43</v>
      </c>
      <c r="C61" s="46">
        <f>C58</f>
        <v>7</v>
      </c>
    </row>
    <row r="62" spans="2:4" ht="15" thickBot="1" x14ac:dyDescent="0.35">
      <c r="B62" s="47" t="s">
        <v>44</v>
      </c>
      <c r="C62" s="48">
        <f>SUM(C60:C61)</f>
        <v>12</v>
      </c>
    </row>
    <row r="63" spans="2:4" ht="15" thickBot="1" x14ac:dyDescent="0.35">
      <c r="B63" s="37"/>
      <c r="C63" s="49"/>
    </row>
    <row r="64" spans="2:4" x14ac:dyDescent="0.3">
      <c r="B64" s="50" t="s">
        <v>45</v>
      </c>
      <c r="C64" s="51">
        <f>C132/(C197+C199+C200+C201+C202+C203)</f>
        <v>0.63339108138945988</v>
      </c>
    </row>
    <row r="65" spans="1:4" x14ac:dyDescent="0.3">
      <c r="B65" s="52" t="s">
        <v>46</v>
      </c>
      <c r="C65" s="53">
        <f>(C106+C107+C110+C121)/C125</f>
        <v>0.51019260508927311</v>
      </c>
    </row>
    <row r="66" spans="1:4" x14ac:dyDescent="0.3">
      <c r="B66" s="54" t="s">
        <v>47</v>
      </c>
      <c r="C66" s="53">
        <f>(C100+C101+C102+C104+C108+C109+C111+C112+C115+C116+C117+C118+C119+C120+C122+C123)/C125</f>
        <v>0.40194010965837201</v>
      </c>
    </row>
    <row r="67" spans="1:4" ht="15" thickBot="1" x14ac:dyDescent="0.35">
      <c r="B67" s="55" t="s">
        <v>48</v>
      </c>
      <c r="C67" s="56">
        <f>(C200+C201+C202+C203)/(C96-C87)</f>
        <v>3.2132687856573514E-2</v>
      </c>
    </row>
    <row r="68" spans="1:4" s="61" customFormat="1" x14ac:dyDescent="0.3">
      <c r="A68" s="57"/>
      <c r="B68" s="58"/>
      <c r="C68" s="59"/>
      <c r="D68" s="60"/>
    </row>
    <row r="69" spans="1:4" s="61" customFormat="1" x14ac:dyDescent="0.3">
      <c r="A69" s="57"/>
      <c r="B69" s="62"/>
      <c r="C69" s="59"/>
      <c r="D69" s="60"/>
    </row>
    <row r="70" spans="1:4" x14ac:dyDescent="0.3">
      <c r="A70" s="63"/>
      <c r="B70" s="64" t="s">
        <v>379</v>
      </c>
      <c r="C70" s="65" t="str">
        <f>C1</f>
        <v>22-23</v>
      </c>
      <c r="D70" s="66"/>
    </row>
    <row r="71" spans="1:4" x14ac:dyDescent="0.3">
      <c r="A71" s="67">
        <v>3110</v>
      </c>
      <c r="B71" s="413" t="s">
        <v>339</v>
      </c>
      <c r="C71" s="68">
        <f>'6-Year (auto-populated)'!D73</f>
        <v>802249.8</v>
      </c>
      <c r="D71" s="69"/>
    </row>
    <row r="72" spans="1:4" x14ac:dyDescent="0.3">
      <c r="A72" s="67">
        <v>4500</v>
      </c>
      <c r="B72" s="409" t="s">
        <v>331</v>
      </c>
      <c r="C72" s="68">
        <f>'6-Year (auto-populated)'!D74</f>
        <v>90929.51999999999</v>
      </c>
      <c r="D72" s="72">
        <v>3.1</v>
      </c>
    </row>
    <row r="73" spans="1:4" x14ac:dyDescent="0.3">
      <c r="A73" s="67">
        <v>4500</v>
      </c>
      <c r="B73" s="409" t="s">
        <v>330</v>
      </c>
      <c r="C73" s="68">
        <f>'6-Year (auto-populated)'!D75</f>
        <v>9500</v>
      </c>
      <c r="D73" s="73">
        <v>950</v>
      </c>
    </row>
    <row r="74" spans="1:4" x14ac:dyDescent="0.3">
      <c r="A74" s="74">
        <v>3115</v>
      </c>
      <c r="B74" s="410" t="s">
        <v>51</v>
      </c>
      <c r="C74" s="68">
        <f>'6-Year (auto-populated)'!D76</f>
        <v>0</v>
      </c>
      <c r="D74" s="73"/>
    </row>
    <row r="75" spans="1:4" x14ac:dyDescent="0.3">
      <c r="A75" s="74"/>
      <c r="B75" s="410" t="s">
        <v>384</v>
      </c>
      <c r="C75" s="68">
        <f>'6-Year (auto-populated)'!D77</f>
        <v>36184.5</v>
      </c>
      <c r="D75" s="73"/>
    </row>
    <row r="76" spans="1:4" x14ac:dyDescent="0.3">
      <c r="A76" s="74"/>
      <c r="B76" s="410" t="s">
        <v>390</v>
      </c>
      <c r="C76" s="68">
        <f>'6-Year (auto-populated)'!D78</f>
        <v>10370</v>
      </c>
      <c r="D76" s="73"/>
    </row>
    <row r="77" spans="1:4" x14ac:dyDescent="0.3">
      <c r="A77" s="74"/>
      <c r="B77" s="409" t="s">
        <v>416</v>
      </c>
      <c r="C77" s="68">
        <f>'6-Year (auto-populated)'!D79</f>
        <v>0</v>
      </c>
      <c r="D77" s="73"/>
    </row>
    <row r="78" spans="1:4" x14ac:dyDescent="0.3">
      <c r="A78" s="67">
        <v>3200</v>
      </c>
      <c r="B78" s="409" t="s">
        <v>332</v>
      </c>
      <c r="C78" s="68">
        <f>'6-Year (auto-populated)'!D80</f>
        <v>0</v>
      </c>
      <c r="D78" s="73"/>
    </row>
    <row r="79" spans="1:4" x14ac:dyDescent="0.3">
      <c r="A79" s="67"/>
      <c r="B79" s="409" t="s">
        <v>334</v>
      </c>
      <c r="C79" s="68">
        <f>'6-Year (auto-populated)'!D81</f>
        <v>0</v>
      </c>
      <c r="D79" s="73"/>
    </row>
    <row r="80" spans="1:4" x14ac:dyDescent="0.3">
      <c r="A80" s="67">
        <v>1510</v>
      </c>
      <c r="B80" s="71" t="s">
        <v>335</v>
      </c>
      <c r="C80" s="68">
        <f>'6-Year (auto-populated)'!D82</f>
        <v>419781.1</v>
      </c>
    </row>
    <row r="81" spans="1:8" x14ac:dyDescent="0.3">
      <c r="A81" s="67"/>
      <c r="B81" s="82" t="s">
        <v>409</v>
      </c>
      <c r="C81" s="68">
        <f>'6-Year (auto-populated)'!D83</f>
        <v>200000</v>
      </c>
    </row>
    <row r="82" spans="1:8" ht="15" thickBot="1" x14ac:dyDescent="0.35">
      <c r="A82" s="67"/>
      <c r="B82" s="82" t="s">
        <v>428</v>
      </c>
      <c r="C82" s="68">
        <f>'6-Year (auto-populated)'!D84</f>
        <v>0</v>
      </c>
    </row>
    <row r="83" spans="1:8" ht="15" thickBot="1" x14ac:dyDescent="0.35">
      <c r="A83" s="75"/>
      <c r="B83" s="76" t="s">
        <v>52</v>
      </c>
      <c r="C83" s="77">
        <f>SUM(C71:C82)</f>
        <v>1569014.92</v>
      </c>
    </row>
    <row r="84" spans="1:8" x14ac:dyDescent="0.3">
      <c r="A84" s="78"/>
      <c r="B84" s="413" t="str">
        <f>B71</f>
        <v>State Base Budget Revenue</v>
      </c>
      <c r="C84" s="68">
        <f>'6-Year (auto-populated)'!D86</f>
        <v>802249.8</v>
      </c>
    </row>
    <row r="85" spans="1:8" x14ac:dyDescent="0.3">
      <c r="A85" s="67"/>
      <c r="B85" s="409" t="s">
        <v>331</v>
      </c>
      <c r="C85" s="68">
        <f>'6-Year (auto-populated)'!D87</f>
        <v>90929.51999999999</v>
      </c>
    </row>
    <row r="86" spans="1:8" x14ac:dyDescent="0.3">
      <c r="A86" s="74"/>
      <c r="B86" s="409" t="s">
        <v>330</v>
      </c>
      <c r="C86" s="68">
        <f>'6-Year (auto-populated)'!D88</f>
        <v>9500</v>
      </c>
    </row>
    <row r="87" spans="1:8" x14ac:dyDescent="0.3">
      <c r="A87" s="67"/>
      <c r="B87" s="410" t="s">
        <v>51</v>
      </c>
      <c r="C87" s="68">
        <f>'6-Year (auto-populated)'!D89</f>
        <v>0</v>
      </c>
    </row>
    <row r="88" spans="1:8" x14ac:dyDescent="0.3">
      <c r="A88" s="67"/>
      <c r="B88" s="410" t="s">
        <v>384</v>
      </c>
      <c r="C88" s="68">
        <f>'6-Year (auto-populated)'!D90</f>
        <v>36184.5</v>
      </c>
    </row>
    <row r="89" spans="1:8" x14ac:dyDescent="0.3">
      <c r="A89" s="67"/>
      <c r="B89" s="410" t="s">
        <v>390</v>
      </c>
      <c r="C89" s="68">
        <f>'6-Year (auto-populated)'!D91</f>
        <v>10370</v>
      </c>
    </row>
    <row r="90" spans="1:8" x14ac:dyDescent="0.3">
      <c r="A90" s="67"/>
      <c r="B90" s="409" t="s">
        <v>416</v>
      </c>
      <c r="C90" s="68">
        <f>'6-Year (auto-populated)'!D92</f>
        <v>0</v>
      </c>
    </row>
    <row r="91" spans="1:8" x14ac:dyDescent="0.3">
      <c r="A91" s="67"/>
      <c r="B91" s="409" t="s">
        <v>332</v>
      </c>
      <c r="C91" s="68">
        <f>'6-Year (auto-populated)'!D93</f>
        <v>0</v>
      </c>
    </row>
    <row r="92" spans="1:8" x14ac:dyDescent="0.3">
      <c r="A92" s="67"/>
      <c r="B92" s="409" t="s">
        <v>334</v>
      </c>
      <c r="C92" s="68">
        <f>'6-Year (auto-populated)'!D94</f>
        <v>0</v>
      </c>
    </row>
    <row r="93" spans="1:8" x14ac:dyDescent="0.3">
      <c r="A93" s="67"/>
      <c r="B93" s="71" t="s">
        <v>430</v>
      </c>
      <c r="C93" s="68">
        <f>'6-Year (auto-populated)'!D95</f>
        <v>419781.1</v>
      </c>
    </row>
    <row r="94" spans="1:8" x14ac:dyDescent="0.3">
      <c r="A94" s="67"/>
      <c r="B94" s="71" t="s">
        <v>431</v>
      </c>
      <c r="C94" s="68">
        <f>'6-Year (auto-populated)'!D96</f>
        <v>200000</v>
      </c>
    </row>
    <row r="95" spans="1:8" x14ac:dyDescent="0.3">
      <c r="A95" s="67"/>
      <c r="B95" s="71" t="s">
        <v>432</v>
      </c>
      <c r="C95" s="68">
        <f>'6-Year (auto-populated)'!D97</f>
        <v>0</v>
      </c>
    </row>
    <row r="96" spans="1:8" x14ac:dyDescent="0.3">
      <c r="A96" s="67"/>
      <c r="B96" s="80" t="s">
        <v>54</v>
      </c>
      <c r="C96" s="81">
        <f>SUM(C84:C95)</f>
        <v>1569014.92</v>
      </c>
      <c r="D96" s="245"/>
      <c r="E96" t="s">
        <v>227</v>
      </c>
      <c r="F96" s="125" t="e">
        <f>#REF!</f>
        <v>#REF!</v>
      </c>
      <c r="G96" s="125"/>
      <c r="H96" s="14" t="e">
        <f t="shared" ref="H96:H102" si="1">G96-F96</f>
        <v>#REF!</v>
      </c>
    </row>
    <row r="97" spans="1:11" s="61" customFormat="1" x14ac:dyDescent="0.3">
      <c r="A97" s="57"/>
      <c r="B97" s="472"/>
      <c r="C97" s="59"/>
      <c r="D97" s="60"/>
      <c r="E97"/>
      <c r="F97" s="125"/>
      <c r="G97" s="125"/>
      <c r="H97" s="14">
        <f t="shared" si="1"/>
        <v>0</v>
      </c>
      <c r="J97" s="267" t="s">
        <v>226</v>
      </c>
      <c r="K97" s="267"/>
    </row>
    <row r="98" spans="1:11" s="61" customFormat="1" x14ac:dyDescent="0.3">
      <c r="A98" s="57"/>
      <c r="B98" s="82" t="s">
        <v>55</v>
      </c>
      <c r="C98" s="59"/>
      <c r="D98" s="60"/>
      <c r="E98" t="s">
        <v>228</v>
      </c>
      <c r="F98" s="125" t="e">
        <f>-#REF!</f>
        <v>#REF!</v>
      </c>
      <c r="G98" s="125"/>
      <c r="H98" s="14" t="e">
        <f t="shared" si="1"/>
        <v>#REF!</v>
      </c>
    </row>
    <row r="99" spans="1:11" x14ac:dyDescent="0.3">
      <c r="A99" s="70"/>
      <c r="B99" s="83" t="s">
        <v>56</v>
      </c>
      <c r="C99" s="34" t="str">
        <f>C1</f>
        <v>22-23</v>
      </c>
      <c r="D99" s="4"/>
      <c r="E99" t="e">
        <f>#REF!</f>
        <v>#REF!</v>
      </c>
      <c r="F99" s="125" t="e">
        <f>#REF!</f>
        <v>#REF!</v>
      </c>
      <c r="G99" s="125"/>
      <c r="H99" s="14" t="e">
        <f t="shared" si="1"/>
        <v>#REF!</v>
      </c>
    </row>
    <row r="100" spans="1:11" x14ac:dyDescent="0.3">
      <c r="A100" s="67">
        <v>104</v>
      </c>
      <c r="B100" s="71" t="s">
        <v>30</v>
      </c>
      <c r="C100" s="68">
        <f>'6-Year (auto-populated)'!D102</f>
        <v>100000</v>
      </c>
      <c r="E100" t="e">
        <f>#REF!</f>
        <v>#REF!</v>
      </c>
      <c r="F100" s="125" t="e">
        <f>#REF!</f>
        <v>#REF!</v>
      </c>
      <c r="G100" s="125"/>
      <c r="H100" s="14" t="e">
        <f t="shared" si="1"/>
        <v>#REF!</v>
      </c>
    </row>
    <row r="101" spans="1:11" x14ac:dyDescent="0.3">
      <c r="A101" s="67">
        <v>104</v>
      </c>
      <c r="B101" s="71" t="s">
        <v>57</v>
      </c>
      <c r="C101" s="68">
        <f>'6-Year (auto-populated)'!D103</f>
        <v>0</v>
      </c>
      <c r="H101" s="14">
        <f t="shared" si="1"/>
        <v>0</v>
      </c>
    </row>
    <row r="102" spans="1:11" x14ac:dyDescent="0.3">
      <c r="A102" s="67">
        <v>105</v>
      </c>
      <c r="B102" s="71" t="s">
        <v>415</v>
      </c>
      <c r="C102" s="68">
        <f>'6-Year (auto-populated)'!D104</f>
        <v>0</v>
      </c>
      <c r="E102" s="174" t="s">
        <v>229</v>
      </c>
      <c r="F102" s="14" t="e">
        <f>SUM(F96:F100)</f>
        <v>#REF!</v>
      </c>
      <c r="G102" s="14"/>
      <c r="H102" s="14" t="e">
        <f t="shared" si="1"/>
        <v>#REF!</v>
      </c>
    </row>
    <row r="103" spans="1:11" x14ac:dyDescent="0.3">
      <c r="A103" s="67">
        <v>105</v>
      </c>
      <c r="B103" s="473" t="s">
        <v>417</v>
      </c>
      <c r="C103" s="68">
        <f>'6-Year (auto-populated)'!D105</f>
        <v>50000</v>
      </c>
      <c r="H103" s="14">
        <f t="shared" ref="H103:H123" si="2">G103-F103</f>
        <v>0</v>
      </c>
    </row>
    <row r="104" spans="1:11" x14ac:dyDescent="0.3">
      <c r="A104" s="67">
        <v>105</v>
      </c>
      <c r="B104" s="474" t="s">
        <v>413</v>
      </c>
      <c r="C104" s="68">
        <f>'6-Year (auto-populated)'!D106</f>
        <v>65000</v>
      </c>
      <c r="E104" t="s">
        <v>230</v>
      </c>
      <c r="F104" s="125" t="e">
        <f>#REF!</f>
        <v>#REF!</v>
      </c>
      <c r="G104" s="125"/>
      <c r="H104" s="14" t="e">
        <f t="shared" si="2"/>
        <v>#REF!</v>
      </c>
    </row>
    <row r="105" spans="1:11" x14ac:dyDescent="0.3">
      <c r="A105" s="67">
        <v>105</v>
      </c>
      <c r="B105" s="71" t="s">
        <v>425</v>
      </c>
      <c r="C105" s="68">
        <f>'6-Year (auto-populated)'!D107</f>
        <v>0</v>
      </c>
      <c r="F105" s="125"/>
      <c r="G105" s="125"/>
      <c r="H105" s="14"/>
    </row>
    <row r="106" spans="1:11" x14ac:dyDescent="0.3">
      <c r="A106" s="67" t="s">
        <v>58</v>
      </c>
      <c r="B106" s="71" t="s">
        <v>59</v>
      </c>
      <c r="C106" s="68">
        <f>'6-Year (auto-populated)'!D108</f>
        <v>200000</v>
      </c>
      <c r="D106" s="18">
        <v>43</v>
      </c>
      <c r="E106" t="s">
        <v>231</v>
      </c>
      <c r="F106" s="125" t="e">
        <f>SUM(#REF!)</f>
        <v>#REF!</v>
      </c>
      <c r="G106" s="125"/>
      <c r="H106" s="14" t="e">
        <f t="shared" si="2"/>
        <v>#REF!</v>
      </c>
    </row>
    <row r="107" spans="1:11" x14ac:dyDescent="0.3">
      <c r="A107" s="67">
        <v>101</v>
      </c>
      <c r="B107" s="71" t="s">
        <v>20</v>
      </c>
      <c r="C107" s="68">
        <f>'6-Year (auto-populated)'!D109</f>
        <v>50000</v>
      </c>
      <c r="D107" s="18">
        <v>43</v>
      </c>
      <c r="E107" t="s">
        <v>232</v>
      </c>
      <c r="F107" s="125" t="e">
        <f>#REF!</f>
        <v>#REF!</v>
      </c>
      <c r="G107" s="125"/>
      <c r="H107" s="14" t="e">
        <f t="shared" si="2"/>
        <v>#REF!</v>
      </c>
    </row>
    <row r="108" spans="1:11" x14ac:dyDescent="0.3">
      <c r="A108" s="67">
        <v>107</v>
      </c>
      <c r="B108" s="71" t="s">
        <v>60</v>
      </c>
      <c r="C108" s="68">
        <f>'6-Year (auto-populated)'!D110</f>
        <v>43000</v>
      </c>
      <c r="D108" s="84"/>
      <c r="E108" t="s">
        <v>233</v>
      </c>
      <c r="F108" s="125" t="e">
        <f>#REF!+#REF!+#REF!+#REF!+#REF!+#REF!+#REF!+#REF!+#REF!+#REF!+#REF!+#REF!+#REF!+#REF!+#REF!+#REF!+#REF!+#REF!+#REF!+#REF!</f>
        <v>#REF!</v>
      </c>
      <c r="G108" s="125"/>
      <c r="H108" s="14" t="e">
        <f t="shared" si="2"/>
        <v>#REF!</v>
      </c>
    </row>
    <row r="109" spans="1:11" x14ac:dyDescent="0.3">
      <c r="A109" s="67">
        <v>107</v>
      </c>
      <c r="B109" s="71" t="s">
        <v>61</v>
      </c>
      <c r="C109" s="68">
        <f>'6-Year (auto-populated)'!D111</f>
        <v>0</v>
      </c>
      <c r="D109" s="18">
        <v>13</v>
      </c>
      <c r="E109" t="s">
        <v>234</v>
      </c>
      <c r="F109" s="125" t="e">
        <f>#REF!+#REF!+#REF!</f>
        <v>#REF!</v>
      </c>
      <c r="G109" s="125"/>
      <c r="H109" s="14" t="e">
        <f t="shared" si="2"/>
        <v>#REF!</v>
      </c>
    </row>
    <row r="110" spans="1:11" x14ac:dyDescent="0.3">
      <c r="A110" s="67">
        <v>102</v>
      </c>
      <c r="B110" s="71" t="s">
        <v>426</v>
      </c>
      <c r="C110" s="68">
        <f>'6-Year (auto-populated)'!D112</f>
        <v>40320</v>
      </c>
      <c r="D110" s="18">
        <v>12.75</v>
      </c>
      <c r="E110" t="s">
        <v>235</v>
      </c>
      <c r="F110" s="14" t="e">
        <f>#REF!</f>
        <v>#REF!</v>
      </c>
      <c r="G110" s="125"/>
      <c r="H110" s="14" t="e">
        <f t="shared" si="2"/>
        <v>#REF!</v>
      </c>
    </row>
    <row r="111" spans="1:11" x14ac:dyDescent="0.3">
      <c r="A111" s="67">
        <v>107</v>
      </c>
      <c r="B111" s="71" t="s">
        <v>63</v>
      </c>
      <c r="C111" s="68">
        <f>'6-Year (auto-populated)'!D113</f>
        <v>0</v>
      </c>
      <c r="D111" s="18">
        <v>15</v>
      </c>
      <c r="E111" t="s">
        <v>236</v>
      </c>
      <c r="F111" s="14" t="e">
        <f>#REF!</f>
        <v>#REF!</v>
      </c>
      <c r="G111" s="125"/>
      <c r="H111" s="14" t="e">
        <f t="shared" si="2"/>
        <v>#REF!</v>
      </c>
    </row>
    <row r="112" spans="1:11" x14ac:dyDescent="0.3">
      <c r="A112" s="67">
        <v>107</v>
      </c>
      <c r="B112" s="71" t="s">
        <v>64</v>
      </c>
      <c r="C112" s="68">
        <f>'6-Year (auto-populated)'!D114</f>
        <v>0</v>
      </c>
      <c r="D112" s="18"/>
      <c r="E112" t="s">
        <v>237</v>
      </c>
      <c r="F112" s="14" t="e">
        <f>#REF!</f>
        <v>#REF!</v>
      </c>
      <c r="G112" s="125"/>
      <c r="H112" s="14" t="e">
        <f t="shared" si="2"/>
        <v>#REF!</v>
      </c>
    </row>
    <row r="113" spans="1:8" x14ac:dyDescent="0.3">
      <c r="A113" s="63"/>
      <c r="B113" s="85" t="s">
        <v>65</v>
      </c>
      <c r="C113" s="86">
        <f>SUM(C100:C112)</f>
        <v>548320</v>
      </c>
      <c r="D113" s="87"/>
      <c r="E113" t="s">
        <v>238</v>
      </c>
      <c r="F113" s="14" t="e">
        <f>#REF!</f>
        <v>#REF!</v>
      </c>
      <c r="G113" s="125"/>
      <c r="H113" s="14" t="e">
        <f t="shared" si="2"/>
        <v>#REF!</v>
      </c>
    </row>
    <row r="114" spans="1:8" x14ac:dyDescent="0.3">
      <c r="A114" s="70"/>
      <c r="B114" s="88" t="s">
        <v>66</v>
      </c>
      <c r="C114" s="34" t="str">
        <f>C1</f>
        <v>22-23</v>
      </c>
      <c r="D114" s="4"/>
      <c r="E114" t="s">
        <v>239</v>
      </c>
      <c r="F114" s="14" t="e">
        <f>#REF!+#REF!+#REF!+#REF!</f>
        <v>#REF!</v>
      </c>
      <c r="G114" s="125"/>
      <c r="H114" s="14" t="e">
        <f t="shared" si="2"/>
        <v>#REF!</v>
      </c>
    </row>
    <row r="115" spans="1:8" hidden="1" x14ac:dyDescent="0.3">
      <c r="A115" s="67"/>
      <c r="B115" s="89" t="s">
        <v>67</v>
      </c>
      <c r="C115" s="68">
        <f>'6-Year (auto-populated)'!D117</f>
        <v>0</v>
      </c>
      <c r="E115" t="s">
        <v>240</v>
      </c>
      <c r="F115" s="14" t="e">
        <f>#REF!+#REF!+#REF!</f>
        <v>#REF!</v>
      </c>
      <c r="G115" s="125"/>
      <c r="H115" s="14" t="e">
        <f t="shared" si="2"/>
        <v>#REF!</v>
      </c>
    </row>
    <row r="116" spans="1:8" x14ac:dyDescent="0.3">
      <c r="A116" s="67"/>
      <c r="B116" s="71" t="s">
        <v>37</v>
      </c>
      <c r="C116" s="68">
        <f>'6-Year (auto-populated)'!D118</f>
        <v>0</v>
      </c>
      <c r="E116" t="s">
        <v>241</v>
      </c>
      <c r="F116" s="14" t="e">
        <f>#REF!</f>
        <v>#REF!</v>
      </c>
      <c r="G116" s="125"/>
      <c r="H116" s="14" t="e">
        <f t="shared" si="2"/>
        <v>#REF!</v>
      </c>
    </row>
    <row r="117" spans="1:8" x14ac:dyDescent="0.3">
      <c r="A117" s="67"/>
      <c r="B117" s="71" t="s">
        <v>38</v>
      </c>
      <c r="C117" s="68">
        <f>'6-Year (auto-populated)'!D119</f>
        <v>0</v>
      </c>
      <c r="E117" t="s">
        <v>242</v>
      </c>
      <c r="F117" s="14" t="e">
        <f>#REF!+#REF!+#REF!+#REF!+#REF!+#REF!+#REF!</f>
        <v>#REF!</v>
      </c>
      <c r="G117" s="125"/>
      <c r="H117" s="14" t="e">
        <f t="shared" si="2"/>
        <v>#REF!</v>
      </c>
    </row>
    <row r="118" spans="1:8" x14ac:dyDescent="0.3">
      <c r="A118" s="67"/>
      <c r="B118" s="71" t="s">
        <v>39</v>
      </c>
      <c r="C118" s="68">
        <f>'6-Year (auto-populated)'!D120</f>
        <v>0</v>
      </c>
      <c r="E118" t="s">
        <v>243</v>
      </c>
      <c r="F118" s="14" t="e">
        <f>#REF!</f>
        <v>#REF!</v>
      </c>
      <c r="G118" s="275"/>
      <c r="H118" s="14" t="e">
        <f t="shared" si="2"/>
        <v>#REF!</v>
      </c>
    </row>
    <row r="119" spans="1:8" x14ac:dyDescent="0.3">
      <c r="A119" s="67"/>
      <c r="B119" s="71" t="s">
        <v>40</v>
      </c>
      <c r="C119" s="68">
        <f>'6-Year (auto-populated)'!D121</f>
        <v>0</v>
      </c>
      <c r="H119" s="14">
        <f t="shared" si="2"/>
        <v>0</v>
      </c>
    </row>
    <row r="120" spans="1:8" x14ac:dyDescent="0.3">
      <c r="A120" s="67"/>
      <c r="B120" s="71" t="s">
        <v>68</v>
      </c>
      <c r="C120" s="68">
        <f>'6-Year (auto-populated)'!D122</f>
        <v>0</v>
      </c>
      <c r="H120" s="14">
        <f t="shared" si="2"/>
        <v>0</v>
      </c>
    </row>
    <row r="121" spans="1:8" x14ac:dyDescent="0.3">
      <c r="A121" s="67"/>
      <c r="B121" s="71" t="s">
        <v>50</v>
      </c>
      <c r="C121" s="68">
        <f>'6-Year (auto-populated)'!D124</f>
        <v>0</v>
      </c>
      <c r="E121" s="174" t="s">
        <v>190</v>
      </c>
      <c r="F121" s="14" t="e">
        <f>SUM(F104:F118)</f>
        <v>#REF!</v>
      </c>
      <c r="G121" s="14"/>
      <c r="H121" s="14" t="e">
        <f t="shared" si="2"/>
        <v>#REF!</v>
      </c>
    </row>
    <row r="122" spans="1:8" x14ac:dyDescent="0.3">
      <c r="A122" s="67">
        <v>107</v>
      </c>
      <c r="B122" s="71" t="s">
        <v>69</v>
      </c>
      <c r="C122" s="68">
        <f>'6-Year (auto-populated)'!D125</f>
        <v>20720</v>
      </c>
      <c r="H122" s="14">
        <f t="shared" si="2"/>
        <v>0</v>
      </c>
    </row>
    <row r="123" spans="1:8" x14ac:dyDescent="0.3">
      <c r="A123" s="74"/>
      <c r="B123" s="71" t="s">
        <v>70</v>
      </c>
      <c r="C123" s="68">
        <f>'6-Year (auto-populated)'!D126</f>
        <v>0</v>
      </c>
      <c r="F123" s="14" t="e">
        <f>F102-F121</f>
        <v>#REF!</v>
      </c>
      <c r="G123" s="14"/>
      <c r="H123" s="14" t="e">
        <f t="shared" si="2"/>
        <v>#REF!</v>
      </c>
    </row>
    <row r="124" spans="1:8" x14ac:dyDescent="0.3">
      <c r="A124" s="63"/>
      <c r="B124" s="90" t="s">
        <v>66</v>
      </c>
      <c r="C124" s="86">
        <f>SUM(C115:C123)</f>
        <v>20720</v>
      </c>
      <c r="D124" s="87"/>
    </row>
    <row r="125" spans="1:8" ht="15" thickBot="1" x14ac:dyDescent="0.35">
      <c r="A125" s="91"/>
      <c r="B125" s="92" t="s">
        <v>71</v>
      </c>
      <c r="C125" s="93">
        <f>C113+C124</f>
        <v>569040</v>
      </c>
    </row>
    <row r="126" spans="1:8" x14ac:dyDescent="0.3">
      <c r="A126" s="78">
        <v>230</v>
      </c>
      <c r="B126" s="71" t="s">
        <v>72</v>
      </c>
      <c r="C126" s="68">
        <f>'6-Year (auto-populated)'!D129</f>
        <v>169289.40000000002</v>
      </c>
    </row>
    <row r="127" spans="1:8" x14ac:dyDescent="0.3">
      <c r="A127" s="94"/>
      <c r="B127" s="71" t="s">
        <v>73</v>
      </c>
      <c r="C127" s="68">
        <f>'6-Year (auto-populated)'!D130</f>
        <v>95939.4</v>
      </c>
    </row>
    <row r="128" spans="1:8" x14ac:dyDescent="0.3">
      <c r="A128" s="67">
        <v>150</v>
      </c>
      <c r="B128" s="71" t="s">
        <v>74</v>
      </c>
      <c r="C128" s="68">
        <f>'6-Year (auto-populated)'!D131</f>
        <v>2000</v>
      </c>
    </row>
    <row r="129" spans="1:4" x14ac:dyDescent="0.3">
      <c r="A129" s="67"/>
      <c r="B129" s="71" t="s">
        <v>75</v>
      </c>
      <c r="C129" s="68">
        <f>'6-Year (auto-populated)'!D132</f>
        <v>0</v>
      </c>
    </row>
    <row r="130" spans="1:4" x14ac:dyDescent="0.3">
      <c r="A130" s="67">
        <v>250</v>
      </c>
      <c r="B130" s="71" t="s">
        <v>76</v>
      </c>
      <c r="C130" s="68">
        <f>'6-Year (auto-populated)'!D133</f>
        <v>1200</v>
      </c>
    </row>
    <row r="131" spans="1:4" ht="15" thickBot="1" x14ac:dyDescent="0.35">
      <c r="A131" s="74"/>
      <c r="B131" s="71" t="s">
        <v>77</v>
      </c>
      <c r="C131" s="68">
        <f>'6-Year (auto-populated)'!D134</f>
        <v>8750</v>
      </c>
    </row>
    <row r="132" spans="1:4" ht="15" thickBot="1" x14ac:dyDescent="0.35">
      <c r="A132" s="95"/>
      <c r="B132" s="96" t="s">
        <v>78</v>
      </c>
      <c r="C132" s="97">
        <f>SUM(C125:C131)</f>
        <v>846218.8</v>
      </c>
    </row>
    <row r="133" spans="1:4" x14ac:dyDescent="0.3">
      <c r="A133" s="98"/>
      <c r="B133" s="99" t="s">
        <v>79</v>
      </c>
      <c r="C133" s="34" t="str">
        <f>C1</f>
        <v>22-23</v>
      </c>
      <c r="D133" s="4"/>
    </row>
    <row r="134" spans="1:4" x14ac:dyDescent="0.3">
      <c r="A134" s="94"/>
      <c r="B134" s="100" t="s">
        <v>80</v>
      </c>
      <c r="C134" s="68">
        <f>'6-Year (auto-populated)'!D138</f>
        <v>3850</v>
      </c>
    </row>
    <row r="135" spans="1:4" hidden="1" x14ac:dyDescent="0.3">
      <c r="A135" s="67">
        <v>561</v>
      </c>
      <c r="B135" s="101" t="s">
        <v>81</v>
      </c>
      <c r="C135" s="68">
        <f>'6-Year (auto-populated)'!D139</f>
        <v>0</v>
      </c>
    </row>
    <row r="136" spans="1:4" x14ac:dyDescent="0.3">
      <c r="A136" s="67"/>
      <c r="B136" s="71" t="s">
        <v>82</v>
      </c>
      <c r="C136" s="68">
        <f>'6-Year (auto-populated)'!D140</f>
        <v>0</v>
      </c>
    </row>
    <row r="137" spans="1:4" x14ac:dyDescent="0.3">
      <c r="A137" s="67">
        <v>610</v>
      </c>
      <c r="B137" s="71" t="s">
        <v>83</v>
      </c>
      <c r="C137" s="68">
        <f>'6-Year (auto-populated)'!D142</f>
        <v>8540</v>
      </c>
    </row>
    <row r="138" spans="1:4" x14ac:dyDescent="0.3">
      <c r="A138" s="67">
        <v>610</v>
      </c>
      <c r="B138" s="71" t="s">
        <v>84</v>
      </c>
      <c r="C138" s="68">
        <f>'6-Year (auto-populated)'!D143</f>
        <v>3190</v>
      </c>
    </row>
    <row r="139" spans="1:4" x14ac:dyDescent="0.3">
      <c r="A139" s="67">
        <v>610</v>
      </c>
      <c r="B139" s="71" t="s">
        <v>85</v>
      </c>
      <c r="C139" s="68">
        <f>'6-Year (auto-populated)'!D144</f>
        <v>467.5</v>
      </c>
    </row>
    <row r="140" spans="1:4" x14ac:dyDescent="0.3">
      <c r="A140" s="67">
        <v>610</v>
      </c>
      <c r="B140" s="71" t="s">
        <v>86</v>
      </c>
      <c r="C140" s="68">
        <f>'6-Year (auto-populated)'!D145</f>
        <v>357.5</v>
      </c>
    </row>
    <row r="141" spans="1:4" x14ac:dyDescent="0.3">
      <c r="A141" s="67">
        <v>610</v>
      </c>
      <c r="B141" s="71" t="s">
        <v>87</v>
      </c>
      <c r="C141" s="68">
        <f>'6-Year (auto-populated)'!D146</f>
        <v>1702.8</v>
      </c>
    </row>
    <row r="142" spans="1:4" ht="15" thickBot="1" x14ac:dyDescent="0.35">
      <c r="A142" s="102"/>
      <c r="B142" s="71" t="s">
        <v>88</v>
      </c>
      <c r="C142" s="68">
        <f>'6-Year (auto-populated)'!D147</f>
        <v>3889.49</v>
      </c>
    </row>
    <row r="143" spans="1:4" s="29" customFormat="1" ht="15" thickBot="1" x14ac:dyDescent="0.35">
      <c r="A143" s="103"/>
      <c r="B143" s="104" t="s">
        <v>89</v>
      </c>
      <c r="C143" s="105">
        <f>SUM(C134:C142)</f>
        <v>21997.29</v>
      </c>
      <c r="D143" s="106"/>
    </row>
    <row r="144" spans="1:4" s="29" customFormat="1" ht="15" thickBot="1" x14ac:dyDescent="0.35">
      <c r="A144" s="107"/>
      <c r="B144" s="108" t="s">
        <v>90</v>
      </c>
      <c r="C144" s="109"/>
      <c r="D144" s="106"/>
    </row>
    <row r="145" spans="1:4" s="29" customFormat="1" x14ac:dyDescent="0.3">
      <c r="A145" s="78">
        <v>320</v>
      </c>
      <c r="B145" s="71" t="s">
        <v>91</v>
      </c>
      <c r="C145" s="68">
        <f>'6-Year (auto-populated)'!D150</f>
        <v>0</v>
      </c>
      <c r="D145" s="106"/>
    </row>
    <row r="146" spans="1:4" x14ac:dyDescent="0.3">
      <c r="A146" s="67">
        <v>300</v>
      </c>
      <c r="B146" s="71" t="s">
        <v>92</v>
      </c>
      <c r="C146" s="68">
        <f>'6-Year (auto-populated)'!D151</f>
        <v>22000</v>
      </c>
    </row>
    <row r="147" spans="1:4" x14ac:dyDescent="0.3">
      <c r="A147" s="67">
        <v>310</v>
      </c>
      <c r="B147" s="71" t="s">
        <v>347</v>
      </c>
      <c r="C147" s="68">
        <f>'6-Year (auto-populated)'!D152</f>
        <v>0</v>
      </c>
    </row>
    <row r="148" spans="1:4" x14ac:dyDescent="0.3">
      <c r="A148" s="67">
        <v>310</v>
      </c>
      <c r="B148" s="71" t="s">
        <v>224</v>
      </c>
      <c r="C148" s="68">
        <f>'6-Year (auto-populated)'!D153</f>
        <v>49500</v>
      </c>
    </row>
    <row r="149" spans="1:4" x14ac:dyDescent="0.3">
      <c r="A149" s="67">
        <v>310</v>
      </c>
      <c r="B149" s="71" t="s">
        <v>93</v>
      </c>
      <c r="C149" s="68">
        <f>'6-Year (auto-populated)'!D154</f>
        <v>3900</v>
      </c>
    </row>
    <row r="150" spans="1:4" x14ac:dyDescent="0.3">
      <c r="A150" s="67">
        <v>340</v>
      </c>
      <c r="B150" s="71" t="s">
        <v>94</v>
      </c>
      <c r="C150" s="68">
        <f>'6-Year (auto-populated)'!D155</f>
        <v>0</v>
      </c>
    </row>
    <row r="151" spans="1:4" x14ac:dyDescent="0.3">
      <c r="A151" s="67">
        <v>340</v>
      </c>
      <c r="B151" s="71" t="s">
        <v>95</v>
      </c>
      <c r="C151" s="68">
        <f>'6-Year (auto-populated)'!D156</f>
        <v>1500</v>
      </c>
    </row>
    <row r="152" spans="1:4" x14ac:dyDescent="0.3">
      <c r="A152" s="67">
        <v>352</v>
      </c>
      <c r="B152" s="71" t="s">
        <v>96</v>
      </c>
      <c r="C152" s="68">
        <f>'6-Year (auto-populated)'!D157</f>
        <v>4950</v>
      </c>
    </row>
    <row r="153" spans="1:4" x14ac:dyDescent="0.3">
      <c r="A153" s="67">
        <v>350</v>
      </c>
      <c r="B153" s="71" t="s">
        <v>97</v>
      </c>
      <c r="C153" s="68">
        <f>'6-Year (auto-populated)'!D158</f>
        <v>12700</v>
      </c>
    </row>
    <row r="154" spans="1:4" x14ac:dyDescent="0.3">
      <c r="A154" s="67">
        <v>591</v>
      </c>
      <c r="B154" s="71" t="s">
        <v>98</v>
      </c>
      <c r="C154" s="68">
        <f>'6-Year (auto-populated)'!D159</f>
        <v>10028.122500000001</v>
      </c>
      <c r="D154" s="110"/>
    </row>
    <row r="155" spans="1:4" x14ac:dyDescent="0.3">
      <c r="A155" s="67">
        <v>320</v>
      </c>
      <c r="B155" s="71" t="s">
        <v>99</v>
      </c>
      <c r="C155" s="68">
        <f>'6-Year (auto-populated)'!D160</f>
        <v>0</v>
      </c>
      <c r="D155" s="110"/>
    </row>
    <row r="156" spans="1:4" ht="15" thickBot="1" x14ac:dyDescent="0.35">
      <c r="A156" s="67">
        <v>330</v>
      </c>
      <c r="B156" s="71" t="s">
        <v>100</v>
      </c>
      <c r="C156" s="68">
        <f>'6-Year (auto-populated)'!D162</f>
        <v>28331.249</v>
      </c>
      <c r="D156" s="110"/>
    </row>
    <row r="157" spans="1:4" ht="15" thickBot="1" x14ac:dyDescent="0.35">
      <c r="A157" s="103"/>
      <c r="B157" s="104" t="s">
        <v>101</v>
      </c>
      <c r="C157" s="105">
        <f>SUM(C145:C156)</f>
        <v>132909.37150000001</v>
      </c>
    </row>
    <row r="158" spans="1:4" ht="15" thickBot="1" x14ac:dyDescent="0.35">
      <c r="A158" s="107"/>
      <c r="B158" s="108" t="s">
        <v>102</v>
      </c>
      <c r="C158" s="34" t="str">
        <f>C1</f>
        <v>22-23</v>
      </c>
      <c r="D158" s="4"/>
    </row>
    <row r="159" spans="1:4" x14ac:dyDescent="0.3">
      <c r="A159" s="67">
        <v>533</v>
      </c>
      <c r="B159" s="71" t="s">
        <v>103</v>
      </c>
      <c r="C159" s="68">
        <f>'6-Year (auto-populated)'!D165</f>
        <v>6000</v>
      </c>
    </row>
    <row r="160" spans="1:4" x14ac:dyDescent="0.3">
      <c r="A160" s="67">
        <v>535</v>
      </c>
      <c r="B160" s="71" t="s">
        <v>104</v>
      </c>
      <c r="C160" s="68">
        <f>'6-Year (auto-populated)'!D166</f>
        <v>7000</v>
      </c>
    </row>
    <row r="161" spans="1:4" x14ac:dyDescent="0.3">
      <c r="A161" s="67">
        <v>534</v>
      </c>
      <c r="B161" s="71" t="s">
        <v>105</v>
      </c>
      <c r="C161" s="68">
        <f>'6-Year (auto-populated)'!D167</f>
        <v>0</v>
      </c>
    </row>
    <row r="162" spans="1:4" x14ac:dyDescent="0.3">
      <c r="A162" s="67">
        <v>531</v>
      </c>
      <c r="B162" s="71" t="s">
        <v>106</v>
      </c>
      <c r="C162" s="68">
        <f>'6-Year (auto-populated)'!D168</f>
        <v>750</v>
      </c>
    </row>
    <row r="163" spans="1:4" x14ac:dyDescent="0.3">
      <c r="A163" s="67">
        <v>535</v>
      </c>
      <c r="B163" s="71" t="s">
        <v>107</v>
      </c>
      <c r="C163" s="68">
        <f>'6-Year (auto-populated)'!D169</f>
        <v>0</v>
      </c>
    </row>
    <row r="164" spans="1:4" x14ac:dyDescent="0.3">
      <c r="A164" s="67">
        <v>443</v>
      </c>
      <c r="B164" s="71" t="s">
        <v>108</v>
      </c>
      <c r="C164" s="68">
        <f>'6-Year (auto-populated)'!D170</f>
        <v>12000</v>
      </c>
    </row>
    <row r="165" spans="1:4" ht="15" thickBot="1" x14ac:dyDescent="0.35">
      <c r="A165" s="67">
        <v>651</v>
      </c>
      <c r="B165" s="71" t="s">
        <v>109</v>
      </c>
      <c r="C165" s="68">
        <f>'6-Year (auto-populated)'!D171</f>
        <v>0</v>
      </c>
    </row>
    <row r="166" spans="1:4" ht="15" thickBot="1" x14ac:dyDescent="0.35">
      <c r="A166" s="103"/>
      <c r="B166" s="104" t="s">
        <v>110</v>
      </c>
      <c r="C166" s="105">
        <f>SUM(C159:C165)</f>
        <v>25750</v>
      </c>
    </row>
    <row r="167" spans="1:4" ht="15" thickBot="1" x14ac:dyDescent="0.35">
      <c r="A167" s="107"/>
      <c r="B167" s="108" t="s">
        <v>111</v>
      </c>
      <c r="C167" s="109"/>
    </row>
    <row r="168" spans="1:4" x14ac:dyDescent="0.3">
      <c r="A168" s="67">
        <v>521</v>
      </c>
      <c r="B168" s="71" t="s">
        <v>112</v>
      </c>
      <c r="C168" s="68">
        <f>'6-Year (auto-populated)'!D174</f>
        <v>7000</v>
      </c>
    </row>
    <row r="169" spans="1:4" x14ac:dyDescent="0.3">
      <c r="A169" s="67">
        <v>522</v>
      </c>
      <c r="B169" s="71" t="s">
        <v>113</v>
      </c>
      <c r="C169" s="68">
        <f>'6-Year (auto-populated)'!D175</f>
        <v>5000</v>
      </c>
    </row>
    <row r="170" spans="1:4" ht="15" thickBot="1" x14ac:dyDescent="0.35">
      <c r="A170" s="67">
        <v>523</v>
      </c>
      <c r="B170" s="71" t="s">
        <v>114</v>
      </c>
      <c r="C170" s="68">
        <f>'6-Year (auto-populated)'!D176</f>
        <v>13500</v>
      </c>
    </row>
    <row r="171" spans="1:4" ht="15" thickBot="1" x14ac:dyDescent="0.35">
      <c r="A171" s="103"/>
      <c r="B171" s="104" t="s">
        <v>115</v>
      </c>
      <c r="C171" s="105">
        <f>SUM(C168:C170)</f>
        <v>25500</v>
      </c>
    </row>
    <row r="172" spans="1:4" ht="15" thickBot="1" x14ac:dyDescent="0.35">
      <c r="A172" s="107"/>
      <c r="B172" s="108" t="s">
        <v>116</v>
      </c>
      <c r="C172" s="109"/>
    </row>
    <row r="173" spans="1:4" x14ac:dyDescent="0.3">
      <c r="A173" s="67">
        <v>570</v>
      </c>
      <c r="B173" s="71" t="s">
        <v>117</v>
      </c>
      <c r="C173" s="68">
        <f>'6-Year (auto-populated)'!D179</f>
        <v>97911</v>
      </c>
      <c r="D173" s="111"/>
    </row>
    <row r="174" spans="1:4" x14ac:dyDescent="0.3">
      <c r="A174" s="67">
        <v>540</v>
      </c>
      <c r="B174" s="71" t="s">
        <v>118</v>
      </c>
      <c r="C174" s="68">
        <f>'6-Year (auto-populated)'!D180</f>
        <v>5000</v>
      </c>
    </row>
    <row r="175" spans="1:4" x14ac:dyDescent="0.3">
      <c r="A175" s="67">
        <v>580</v>
      </c>
      <c r="B175" s="71" t="s">
        <v>119</v>
      </c>
      <c r="C175" s="68">
        <f>'6-Year (auto-populated)'!D181</f>
        <v>2420</v>
      </c>
    </row>
    <row r="176" spans="1:4" x14ac:dyDescent="0.3">
      <c r="A176" s="67">
        <v>340</v>
      </c>
      <c r="B176" s="71" t="s">
        <v>120</v>
      </c>
      <c r="C176" s="68">
        <f>'6-Year (auto-populated)'!D182</f>
        <v>840</v>
      </c>
    </row>
    <row r="177" spans="1:4" x14ac:dyDescent="0.3">
      <c r="A177" s="112">
        <v>810</v>
      </c>
      <c r="B177" s="71" t="s">
        <v>121</v>
      </c>
      <c r="C177" s="68">
        <f>'6-Year (auto-populated)'!D183</f>
        <v>5500</v>
      </c>
    </row>
    <row r="178" spans="1:4" hidden="1" x14ac:dyDescent="0.3">
      <c r="A178" s="94"/>
      <c r="B178" s="71" t="s">
        <v>122</v>
      </c>
      <c r="C178" s="68">
        <f>'6-Year (auto-populated)'!D184</f>
        <v>0</v>
      </c>
    </row>
    <row r="179" spans="1:4" x14ac:dyDescent="0.3">
      <c r="A179" s="94"/>
      <c r="B179" s="71" t="s">
        <v>123</v>
      </c>
      <c r="C179" s="68">
        <f>'6-Year (auto-populated)'!D185</f>
        <v>0</v>
      </c>
    </row>
    <row r="180" spans="1:4" x14ac:dyDescent="0.3">
      <c r="A180" s="94"/>
      <c r="B180" s="71" t="s">
        <v>124</v>
      </c>
      <c r="C180" s="68">
        <f>'6-Year (auto-populated)'!D186</f>
        <v>0</v>
      </c>
    </row>
    <row r="181" spans="1:4" ht="15" thickBot="1" x14ac:dyDescent="0.35">
      <c r="A181" s="67">
        <v>900</v>
      </c>
      <c r="B181" s="71" t="s">
        <v>125</v>
      </c>
      <c r="C181" s="68">
        <f>'6-Year (auto-populated)'!D187</f>
        <v>1950</v>
      </c>
    </row>
    <row r="182" spans="1:4" ht="15" thickBot="1" x14ac:dyDescent="0.35">
      <c r="A182" s="103"/>
      <c r="B182" s="104" t="s">
        <v>126</v>
      </c>
      <c r="C182" s="105">
        <f>SUM(C173:C181)</f>
        <v>113621</v>
      </c>
    </row>
    <row r="183" spans="1:4" ht="15" thickBot="1" x14ac:dyDescent="0.35">
      <c r="A183" s="107"/>
      <c r="B183" s="108" t="s">
        <v>127</v>
      </c>
      <c r="C183" s="34" t="str">
        <f>C1</f>
        <v>22-23</v>
      </c>
      <c r="D183" s="4"/>
    </row>
    <row r="184" spans="1:4" x14ac:dyDescent="0.3">
      <c r="A184" s="78">
        <v>622</v>
      </c>
      <c r="B184" s="71" t="s">
        <v>128</v>
      </c>
      <c r="C184" s="68">
        <f>'6-Year (auto-populated)'!D190</f>
        <v>30000</v>
      </c>
    </row>
    <row r="185" spans="1:4" x14ac:dyDescent="0.3">
      <c r="A185" s="67">
        <v>621</v>
      </c>
      <c r="B185" s="71" t="s">
        <v>129</v>
      </c>
      <c r="C185" s="68">
        <f>'6-Year (auto-populated)'!D191</f>
        <v>0</v>
      </c>
    </row>
    <row r="186" spans="1:4" x14ac:dyDescent="0.3">
      <c r="A186" s="67">
        <v>411</v>
      </c>
      <c r="B186" s="71" t="s">
        <v>130</v>
      </c>
      <c r="C186" s="68">
        <f>'6-Year (auto-populated)'!D192</f>
        <v>10000</v>
      </c>
    </row>
    <row r="187" spans="1:4" x14ac:dyDescent="0.3">
      <c r="A187" s="67">
        <v>422</v>
      </c>
      <c r="B187" s="71" t="s">
        <v>131</v>
      </c>
      <c r="C187" s="68">
        <f>'6-Year (auto-populated)'!D193</f>
        <v>7500</v>
      </c>
    </row>
    <row r="188" spans="1:4" x14ac:dyDescent="0.3">
      <c r="A188" s="67">
        <v>490</v>
      </c>
      <c r="B188" s="71" t="s">
        <v>132</v>
      </c>
      <c r="C188" s="68">
        <f>'6-Year (auto-populated)'!D194</f>
        <v>5000</v>
      </c>
    </row>
    <row r="189" spans="1:4" x14ac:dyDescent="0.3">
      <c r="A189" s="67">
        <v>422</v>
      </c>
      <c r="B189" s="71" t="s">
        <v>133</v>
      </c>
      <c r="C189" s="68">
        <f>'6-Year (auto-populated)'!D195</f>
        <v>41580.000000000015</v>
      </c>
      <c r="D189" s="106"/>
    </row>
    <row r="190" spans="1:4" x14ac:dyDescent="0.3">
      <c r="A190" s="67">
        <v>610</v>
      </c>
      <c r="B190" s="71" t="s">
        <v>134</v>
      </c>
      <c r="C190" s="68">
        <f>'6-Year (auto-populated)'!D196</f>
        <v>3520</v>
      </c>
      <c r="D190" s="106"/>
    </row>
    <row r="191" spans="1:4" x14ac:dyDescent="0.3">
      <c r="A191" s="67" t="s">
        <v>135</v>
      </c>
      <c r="B191" s="71" t="s">
        <v>136</v>
      </c>
      <c r="C191" s="68">
        <f>'6-Year (auto-populated)'!D197</f>
        <v>8500</v>
      </c>
      <c r="D191" s="106"/>
    </row>
    <row r="192" spans="1:4" hidden="1" x14ac:dyDescent="0.3">
      <c r="A192" s="113"/>
      <c r="B192" s="71" t="s">
        <v>137</v>
      </c>
      <c r="C192" s="68">
        <f>'6-Year (auto-populated)'!D198</f>
        <v>0</v>
      </c>
      <c r="D192" s="106"/>
    </row>
    <row r="193" spans="1:11" x14ac:dyDescent="0.3">
      <c r="A193" s="67">
        <v>420</v>
      </c>
      <c r="B193" s="71" t="s">
        <v>138</v>
      </c>
      <c r="C193" s="68">
        <f>'6-Year (auto-populated)'!D199</f>
        <v>6000</v>
      </c>
    </row>
    <row r="194" spans="1:11" ht="15" thickBot="1" x14ac:dyDescent="0.35">
      <c r="A194" s="74">
        <v>431</v>
      </c>
      <c r="B194" s="71" t="s">
        <v>139</v>
      </c>
      <c r="C194" s="68">
        <f>'6-Year (auto-populated)'!D200</f>
        <v>7500</v>
      </c>
    </row>
    <row r="195" spans="1:11" ht="15" thickBot="1" x14ac:dyDescent="0.35">
      <c r="A195" s="95"/>
      <c r="B195" s="96" t="s">
        <v>140</v>
      </c>
      <c r="C195" s="97">
        <f>SUM(C184:C194)</f>
        <v>119600.00000000001</v>
      </c>
    </row>
    <row r="196" spans="1:11" ht="15" thickBot="1" x14ac:dyDescent="0.35">
      <c r="A196" s="114"/>
      <c r="B196" s="115"/>
      <c r="C196" s="49"/>
    </row>
    <row r="197" spans="1:11" ht="15" thickBot="1" x14ac:dyDescent="0.35">
      <c r="A197" s="116"/>
      <c r="B197" s="117" t="s">
        <v>141</v>
      </c>
      <c r="C197" s="77">
        <f>C195+C182+C171+C166+C157+C143+C132</f>
        <v>1285596.4615</v>
      </c>
    </row>
    <row r="198" spans="1:11" x14ac:dyDescent="0.3">
      <c r="A198" s="78"/>
      <c r="B198" s="118"/>
      <c r="C198" s="79"/>
    </row>
    <row r="199" spans="1:11" x14ac:dyDescent="0.3">
      <c r="A199" s="67"/>
      <c r="B199" s="119"/>
      <c r="C199" s="7"/>
    </row>
    <row r="200" spans="1:11" x14ac:dyDescent="0.3">
      <c r="A200" s="67"/>
      <c r="B200" s="120" t="s">
        <v>142</v>
      </c>
      <c r="C200" s="68">
        <f>'6-Year (auto-populated)'!D206</f>
        <v>50416.666666666664</v>
      </c>
    </row>
    <row r="201" spans="1:11" x14ac:dyDescent="0.3">
      <c r="A201" s="67"/>
      <c r="B201" s="120" t="s">
        <v>143</v>
      </c>
      <c r="C201" s="68">
        <f>'6-Year (auto-populated)'!D207</f>
        <v>0</v>
      </c>
    </row>
    <row r="202" spans="1:11" x14ac:dyDescent="0.3">
      <c r="A202" s="67"/>
      <c r="B202" s="120" t="s">
        <v>143</v>
      </c>
      <c r="C202" s="68">
        <f>'6-Year (auto-populated)'!D208</f>
        <v>0</v>
      </c>
    </row>
    <row r="203" spans="1:11" x14ac:dyDescent="0.3">
      <c r="A203" s="67"/>
      <c r="B203" s="121" t="s">
        <v>144</v>
      </c>
      <c r="C203" s="68">
        <f>'6-Year (auto-populated)'!D209</f>
        <v>0</v>
      </c>
    </row>
    <row r="204" spans="1:11" ht="15" thickBot="1" x14ac:dyDescent="0.35">
      <c r="A204" s="74"/>
      <c r="B204" s="62"/>
      <c r="C204" s="42"/>
    </row>
    <row r="205" spans="1:11" ht="15" thickBot="1" x14ac:dyDescent="0.35">
      <c r="A205" s="116"/>
      <c r="B205" s="122" t="s">
        <v>145</v>
      </c>
      <c r="C205" s="77">
        <f>C83-C197-C200-C201-C202-C203</f>
        <v>233001.79183333329</v>
      </c>
      <c r="K205" t="b">
        <f>C205='6-Year (auto-populated)'!D211</f>
        <v>0</v>
      </c>
    </row>
    <row r="206" spans="1:11" ht="15" thickBot="1" x14ac:dyDescent="0.35">
      <c r="A206" s="78"/>
      <c r="B206" s="123"/>
      <c r="C206" s="124">
        <f>C205/(C83-C72)</f>
        <v>0.15763757076102186</v>
      </c>
    </row>
    <row r="207" spans="1:11" x14ac:dyDescent="0.3">
      <c r="B207" s="3" t="str">
        <f>B1</f>
        <v xml:space="preserve">Young Women's Leadership Academy </v>
      </c>
      <c r="C207" s="3" t="str">
        <f>C1</f>
        <v>22-23</v>
      </c>
      <c r="D207" s="4"/>
    </row>
    <row r="210" spans="1:3" x14ac:dyDescent="0.3">
      <c r="A210" s="113"/>
      <c r="B210" s="126" t="s">
        <v>146</v>
      </c>
      <c r="C210" s="7"/>
    </row>
    <row r="211" spans="1:3" x14ac:dyDescent="0.3">
      <c r="A211" s="113"/>
      <c r="B211" s="126" t="s">
        <v>147</v>
      </c>
      <c r="C211" s="7"/>
    </row>
    <row r="213" spans="1:3" ht="15" thickBot="1" x14ac:dyDescent="0.35"/>
    <row r="214" spans="1:3" ht="15" thickBot="1" x14ac:dyDescent="0.35">
      <c r="A214" s="116"/>
      <c r="B214" s="122" t="s">
        <v>49</v>
      </c>
      <c r="C214" s="77">
        <f>C72-((C122*1.4725)+C173)</f>
        <v>-37491.680000000008</v>
      </c>
    </row>
    <row r="215" spans="1:3" ht="15" thickBot="1" x14ac:dyDescent="0.35">
      <c r="A215" s="116"/>
      <c r="B215" s="122" t="s">
        <v>16</v>
      </c>
      <c r="C215" s="77">
        <f>(C73+C74)-(((C107+C116+C117+C118+C119+C120)*1.4725)+C141+C146)</f>
        <v>-87827.8</v>
      </c>
    </row>
  </sheetData>
  <pageMargins left="0.7" right="0.7" top="0.75" bottom="0.75" header="0.3" footer="0.3"/>
  <pageSetup scale="69" orientation="portrait" r:id="rId1"/>
  <rowBreaks count="2" manualBreakCount="2">
    <brk id="68" max="3" man="1"/>
    <brk id="157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59"/>
  <sheetViews>
    <sheetView topLeftCell="A168" zoomScale="75" zoomScaleNormal="75" workbookViewId="0">
      <selection activeCell="D208" sqref="D208"/>
    </sheetView>
  </sheetViews>
  <sheetFormatPr defaultColWidth="8.77734375" defaultRowHeight="14.4" x14ac:dyDescent="0.3"/>
  <cols>
    <col min="1" max="1" width="8.77734375" style="5"/>
    <col min="2" max="2" width="56.5546875" style="219" customWidth="1"/>
    <col min="3" max="10" width="15.77734375" style="125" customWidth="1"/>
    <col min="11" max="11" width="15.109375" style="240" customWidth="1"/>
    <col min="12" max="12" width="12.21875" style="219" bestFit="1" customWidth="1"/>
    <col min="13" max="13" width="14.44140625" style="219" customWidth="1"/>
    <col min="14" max="14" width="13.33203125" style="219" bestFit="1" customWidth="1"/>
    <col min="15" max="16" width="11.109375" style="219" bestFit="1" customWidth="1"/>
    <col min="17" max="16384" width="8.77734375" style="219"/>
  </cols>
  <sheetData>
    <row r="1" spans="1:17" s="2" customFormat="1" ht="15" thickBot="1" x14ac:dyDescent="0.35">
      <c r="A1" s="1"/>
      <c r="B1" s="3" t="s">
        <v>388</v>
      </c>
      <c r="C1" s="3" t="s">
        <v>386</v>
      </c>
      <c r="D1" s="3" t="s">
        <v>376</v>
      </c>
      <c r="E1" s="3" t="s">
        <v>16</v>
      </c>
      <c r="F1" s="3" t="s">
        <v>49</v>
      </c>
      <c r="G1" s="3" t="s">
        <v>439</v>
      </c>
      <c r="H1" s="3" t="s">
        <v>384</v>
      </c>
      <c r="I1" s="3" t="s">
        <v>390</v>
      </c>
      <c r="J1" s="3" t="s">
        <v>158</v>
      </c>
      <c r="K1" s="224"/>
      <c r="L1" s="3">
        <v>7197</v>
      </c>
      <c r="M1" s="241" t="s">
        <v>148</v>
      </c>
    </row>
    <row r="2" spans="1:17" x14ac:dyDescent="0.3">
      <c r="B2" s="6" t="s">
        <v>329</v>
      </c>
      <c r="C2" s="140">
        <v>7293.18</v>
      </c>
      <c r="D2" s="140"/>
      <c r="E2" s="140"/>
      <c r="F2" s="140"/>
      <c r="G2" s="140"/>
      <c r="H2" s="140"/>
      <c r="I2" s="140"/>
      <c r="J2" s="140">
        <f>SUM(C2:H2)</f>
        <v>7293.18</v>
      </c>
      <c r="K2" s="168"/>
      <c r="L2" s="169">
        <f>(J2-L1)/L1</f>
        <v>1.3363901625677407E-2</v>
      </c>
      <c r="M2" s="169"/>
      <c r="N2" s="169"/>
      <c r="O2" s="169"/>
    </row>
    <row r="3" spans="1:17" hidden="1" x14ac:dyDescent="0.3">
      <c r="B3" s="9"/>
      <c r="C3" s="157"/>
      <c r="D3" s="157"/>
      <c r="E3" s="157"/>
      <c r="F3" s="157"/>
      <c r="G3" s="157"/>
      <c r="H3" s="157"/>
      <c r="I3" s="157"/>
      <c r="J3" s="157"/>
      <c r="K3" s="168"/>
      <c r="L3" s="169"/>
      <c r="M3" s="169"/>
      <c r="N3" s="169"/>
      <c r="O3" s="169"/>
    </row>
    <row r="4" spans="1:17" hidden="1" x14ac:dyDescent="0.3">
      <c r="B4" s="9"/>
      <c r="C4" s="157"/>
      <c r="D4" s="157"/>
      <c r="E4" s="157"/>
      <c r="F4" s="157"/>
      <c r="G4" s="157"/>
      <c r="H4" s="157"/>
      <c r="I4" s="157"/>
      <c r="J4" s="157"/>
      <c r="K4" s="168"/>
      <c r="L4" s="169"/>
      <c r="M4" s="169"/>
      <c r="N4" s="169"/>
      <c r="O4" s="169"/>
    </row>
    <row r="5" spans="1:17" x14ac:dyDescent="0.3">
      <c r="B5" s="9" t="s">
        <v>1</v>
      </c>
      <c r="C5" s="141">
        <f>C6+C7+C8+C9+C10+C11+C12+C13+C14+C15+C16+C17+C18</f>
        <v>110</v>
      </c>
      <c r="D5" s="141"/>
      <c r="E5" s="141"/>
      <c r="F5" s="141"/>
      <c r="G5" s="141"/>
      <c r="H5" s="141"/>
      <c r="I5" s="141"/>
      <c r="J5" s="141">
        <f t="shared" ref="J5:J18" si="0">SUM(C5:I5)</f>
        <v>110</v>
      </c>
      <c r="K5" s="225"/>
    </row>
    <row r="6" spans="1:17" x14ac:dyDescent="0.3">
      <c r="B6" s="484" t="s">
        <v>2</v>
      </c>
      <c r="C6" s="142">
        <v>0</v>
      </c>
      <c r="D6" s="142"/>
      <c r="E6" s="142"/>
      <c r="F6" s="142"/>
      <c r="G6" s="142"/>
      <c r="H6" s="142"/>
      <c r="I6" s="142"/>
      <c r="J6" s="142">
        <f t="shared" si="0"/>
        <v>0</v>
      </c>
      <c r="K6" s="225"/>
      <c r="L6" s="166">
        <f t="shared" ref="L6:L11" si="1">J6/28</f>
        <v>0</v>
      </c>
      <c r="M6" s="166"/>
      <c r="N6" s="166"/>
      <c r="O6" s="166"/>
      <c r="Q6" s="166"/>
    </row>
    <row r="7" spans="1:17" x14ac:dyDescent="0.3">
      <c r="B7" s="15" t="s">
        <v>3</v>
      </c>
      <c r="C7" s="142">
        <v>0</v>
      </c>
      <c r="D7" s="142"/>
      <c r="E7" s="142"/>
      <c r="F7" s="142"/>
      <c r="G7" s="142"/>
      <c r="H7" s="142"/>
      <c r="I7" s="142"/>
      <c r="J7" s="142">
        <f t="shared" si="0"/>
        <v>0</v>
      </c>
      <c r="K7" s="225"/>
      <c r="L7" s="166">
        <f t="shared" si="1"/>
        <v>0</v>
      </c>
      <c r="M7" s="166"/>
      <c r="N7" s="166"/>
      <c r="O7" s="166"/>
      <c r="Q7" s="166"/>
    </row>
    <row r="8" spans="1:17" x14ac:dyDescent="0.3">
      <c r="B8" s="15" t="s">
        <v>4</v>
      </c>
      <c r="C8" s="142">
        <v>0</v>
      </c>
      <c r="D8" s="142"/>
      <c r="E8" s="142"/>
      <c r="F8" s="142"/>
      <c r="G8" s="142"/>
      <c r="H8" s="142"/>
      <c r="I8" s="142"/>
      <c r="J8" s="142">
        <f t="shared" si="0"/>
        <v>0</v>
      </c>
      <c r="K8" s="225"/>
      <c r="L8" s="166">
        <f t="shared" si="1"/>
        <v>0</v>
      </c>
      <c r="M8" s="166"/>
      <c r="N8" s="166"/>
      <c r="O8" s="166"/>
      <c r="Q8" s="166"/>
    </row>
    <row r="9" spans="1:17" x14ac:dyDescent="0.3">
      <c r="B9" s="485" t="s">
        <v>5</v>
      </c>
      <c r="C9" s="142">
        <v>0</v>
      </c>
      <c r="D9" s="142"/>
      <c r="E9" s="142"/>
      <c r="F9" s="142"/>
      <c r="G9" s="142"/>
      <c r="H9" s="142"/>
      <c r="I9" s="142"/>
      <c r="J9" s="142">
        <f t="shared" si="0"/>
        <v>0</v>
      </c>
      <c r="K9" s="225"/>
      <c r="L9" s="166">
        <f t="shared" si="1"/>
        <v>0</v>
      </c>
      <c r="M9" s="166"/>
      <c r="N9" s="166"/>
      <c r="O9" s="166"/>
      <c r="Q9" s="166"/>
    </row>
    <row r="10" spans="1:17" x14ac:dyDescent="0.3">
      <c r="B10" s="485" t="s">
        <v>6</v>
      </c>
      <c r="C10" s="142">
        <v>0</v>
      </c>
      <c r="D10" s="142"/>
      <c r="E10" s="142"/>
      <c r="F10" s="142"/>
      <c r="G10" s="142"/>
      <c r="H10" s="142"/>
      <c r="I10" s="142"/>
      <c r="J10" s="142">
        <f t="shared" si="0"/>
        <v>0</v>
      </c>
      <c r="K10" s="225"/>
      <c r="L10" s="166">
        <f t="shared" si="1"/>
        <v>0</v>
      </c>
      <c r="M10" s="166"/>
      <c r="N10" s="166"/>
      <c r="O10" s="166"/>
      <c r="Q10" s="166"/>
    </row>
    <row r="11" spans="1:17" x14ac:dyDescent="0.3">
      <c r="B11" s="485" t="s">
        <v>7</v>
      </c>
      <c r="C11" s="142">
        <v>0</v>
      </c>
      <c r="D11" s="142"/>
      <c r="E11" s="142"/>
      <c r="F11" s="142"/>
      <c r="G11" s="142"/>
      <c r="H11" s="142"/>
      <c r="I11" s="142"/>
      <c r="J11" s="142">
        <f t="shared" si="0"/>
        <v>0</v>
      </c>
      <c r="K11" s="225"/>
      <c r="L11" s="166">
        <f t="shared" si="1"/>
        <v>0</v>
      </c>
      <c r="M11" s="166"/>
      <c r="N11" s="166"/>
      <c r="O11" s="166"/>
      <c r="Q11" s="166"/>
    </row>
    <row r="12" spans="1:17" x14ac:dyDescent="0.3">
      <c r="B12" s="485" t="s">
        <v>8</v>
      </c>
      <c r="C12" s="143">
        <v>80</v>
      </c>
      <c r="D12" s="143"/>
      <c r="E12" s="143"/>
      <c r="F12" s="143"/>
      <c r="G12" s="143"/>
      <c r="H12" s="143"/>
      <c r="I12" s="143"/>
      <c r="J12" s="142">
        <f t="shared" si="0"/>
        <v>80</v>
      </c>
      <c r="K12" s="225"/>
      <c r="L12" s="166">
        <f>J12/30</f>
        <v>2.6666666666666665</v>
      </c>
      <c r="M12" s="166"/>
      <c r="N12" s="166"/>
      <c r="O12" s="166"/>
      <c r="Q12" s="166"/>
    </row>
    <row r="13" spans="1:17" x14ac:dyDescent="0.3">
      <c r="B13" s="485" t="s">
        <v>9</v>
      </c>
      <c r="C13" s="143">
        <v>0</v>
      </c>
      <c r="D13" s="143"/>
      <c r="E13" s="143"/>
      <c r="F13" s="143"/>
      <c r="G13" s="143"/>
      <c r="H13" s="143"/>
      <c r="I13" s="143"/>
      <c r="J13" s="142">
        <f t="shared" si="0"/>
        <v>0</v>
      </c>
      <c r="K13" s="225"/>
      <c r="L13" s="166">
        <f>J13/30</f>
        <v>0</v>
      </c>
      <c r="M13" s="166"/>
      <c r="N13" s="166"/>
      <c r="O13" s="166"/>
      <c r="Q13" s="166"/>
    </row>
    <row r="14" spans="1:17" x14ac:dyDescent="0.3">
      <c r="B14" s="485" t="s">
        <v>10</v>
      </c>
      <c r="C14" s="143">
        <v>0</v>
      </c>
      <c r="D14" s="143"/>
      <c r="E14" s="143"/>
      <c r="F14" s="143"/>
      <c r="G14" s="143"/>
      <c r="H14" s="143"/>
      <c r="I14" s="143"/>
      <c r="J14" s="142">
        <f t="shared" si="0"/>
        <v>0</v>
      </c>
      <c r="K14" s="225"/>
      <c r="L14" s="166">
        <f>J14/30</f>
        <v>0</v>
      </c>
      <c r="M14" s="166"/>
      <c r="N14" s="166"/>
      <c r="O14" s="166"/>
      <c r="Q14" s="166"/>
    </row>
    <row r="15" spans="1:17" x14ac:dyDescent="0.3">
      <c r="B15" s="485" t="s">
        <v>11</v>
      </c>
      <c r="C15" s="143">
        <v>30</v>
      </c>
      <c r="D15" s="143"/>
      <c r="E15" s="143"/>
      <c r="F15" s="143"/>
      <c r="G15" s="143"/>
      <c r="H15" s="143"/>
      <c r="I15" s="143"/>
      <c r="J15" s="142">
        <f t="shared" si="0"/>
        <v>30</v>
      </c>
      <c r="K15" s="225"/>
      <c r="L15" s="166">
        <f>J15/30</f>
        <v>1</v>
      </c>
      <c r="M15" s="166"/>
      <c r="N15" s="166"/>
      <c r="O15" s="166"/>
    </row>
    <row r="16" spans="1:17" x14ac:dyDescent="0.3">
      <c r="B16" s="485" t="s">
        <v>12</v>
      </c>
      <c r="C16" s="143">
        <v>0</v>
      </c>
      <c r="D16" s="143"/>
      <c r="E16" s="143"/>
      <c r="F16" s="143"/>
      <c r="G16" s="143"/>
      <c r="H16" s="143"/>
      <c r="I16" s="143"/>
      <c r="J16" s="142">
        <f t="shared" si="0"/>
        <v>0</v>
      </c>
      <c r="K16" s="225"/>
      <c r="L16" s="166">
        <f>J16/31</f>
        <v>0</v>
      </c>
      <c r="M16" s="166"/>
      <c r="N16" s="166"/>
      <c r="O16" s="166"/>
    </row>
    <row r="17" spans="1:15" x14ac:dyDescent="0.3">
      <c r="B17" s="485" t="s">
        <v>13</v>
      </c>
      <c r="C17" s="143">
        <v>0</v>
      </c>
      <c r="D17" s="143"/>
      <c r="E17" s="143"/>
      <c r="F17" s="143"/>
      <c r="G17" s="143"/>
      <c r="H17" s="143"/>
      <c r="I17" s="143"/>
      <c r="J17" s="142">
        <f t="shared" si="0"/>
        <v>0</v>
      </c>
      <c r="K17" s="225"/>
      <c r="L17" s="166">
        <f>J17/31</f>
        <v>0</v>
      </c>
      <c r="M17" s="166"/>
      <c r="N17" s="166"/>
      <c r="O17" s="166"/>
    </row>
    <row r="18" spans="1:15" x14ac:dyDescent="0.3">
      <c r="B18" s="485" t="s">
        <v>14</v>
      </c>
      <c r="C18" s="143">
        <v>0</v>
      </c>
      <c r="D18" s="143"/>
      <c r="E18" s="143"/>
      <c r="F18" s="143"/>
      <c r="G18" s="143"/>
      <c r="H18" s="143"/>
      <c r="I18" s="143"/>
      <c r="J18" s="142">
        <f t="shared" si="0"/>
        <v>0</v>
      </c>
      <c r="K18" s="225"/>
      <c r="L18" s="166">
        <f>J18/30</f>
        <v>0</v>
      </c>
      <c r="M18" s="166"/>
      <c r="N18" s="166"/>
      <c r="O18" s="166"/>
    </row>
    <row r="19" spans="1:15" x14ac:dyDescent="0.3">
      <c r="B19" s="485" t="s">
        <v>1</v>
      </c>
      <c r="C19" s="141">
        <f>SUM(C6:C18)</f>
        <v>110</v>
      </c>
      <c r="D19" s="141">
        <f>SUM(D6:D18)</f>
        <v>0</v>
      </c>
      <c r="E19" s="141">
        <f>SUM(E6:E18)</f>
        <v>0</v>
      </c>
      <c r="F19" s="141">
        <f>SUM(F6:F18)</f>
        <v>0</v>
      </c>
      <c r="G19" s="141"/>
      <c r="H19" s="141">
        <f>SUM(H6:H18)</f>
        <v>0</v>
      </c>
      <c r="I19" s="141"/>
      <c r="J19" s="141">
        <f>SUM(J6:J18)</f>
        <v>110</v>
      </c>
      <c r="K19" s="225"/>
      <c r="L19" s="220">
        <f>SUM(L6:L18)</f>
        <v>3.6666666666666665</v>
      </c>
      <c r="M19" s="220"/>
      <c r="N19" s="220"/>
      <c r="O19" s="220"/>
    </row>
    <row r="20" spans="1:15" x14ac:dyDescent="0.3">
      <c r="B20" s="486"/>
      <c r="C20" s="143"/>
      <c r="D20" s="143"/>
      <c r="E20" s="366"/>
      <c r="F20" s="366"/>
      <c r="G20" s="366"/>
      <c r="H20" s="366"/>
      <c r="I20" s="366"/>
      <c r="J20" s="366"/>
      <c r="K20" s="226"/>
      <c r="L20" s="219" t="b">
        <f>ROUND(L19,0)=ROUND(J29,0)</f>
        <v>1</v>
      </c>
    </row>
    <row r="21" spans="1:15" x14ac:dyDescent="0.3">
      <c r="B21" s="19" t="s">
        <v>399</v>
      </c>
      <c r="C21" s="144"/>
      <c r="D21" s="144"/>
      <c r="E21" s="144"/>
      <c r="F21" s="144"/>
      <c r="G21" s="144"/>
      <c r="H21" s="144"/>
      <c r="I21" s="144"/>
      <c r="J21" s="144"/>
      <c r="K21" s="226"/>
    </row>
    <row r="22" spans="1:15" x14ac:dyDescent="0.3">
      <c r="B22" s="411" t="s">
        <v>336</v>
      </c>
      <c r="C22" s="143"/>
      <c r="D22" s="143"/>
      <c r="E22" s="143">
        <f>C19*0.12</f>
        <v>13.2</v>
      </c>
      <c r="F22" s="143"/>
      <c r="G22" s="143"/>
      <c r="H22" s="143"/>
      <c r="I22" s="143"/>
      <c r="J22" s="143">
        <f>SUM(C22:H22)</f>
        <v>13.2</v>
      </c>
      <c r="K22" s="227"/>
      <c r="L22" s="221">
        <f>J22/21</f>
        <v>0.62857142857142856</v>
      </c>
      <c r="M22" s="221"/>
      <c r="N22" s="221"/>
      <c r="O22" s="221"/>
    </row>
    <row r="23" spans="1:15" x14ac:dyDescent="0.3">
      <c r="B23" s="411" t="s">
        <v>418</v>
      </c>
      <c r="C23" s="143"/>
      <c r="D23" s="143">
        <f>C19*0.21</f>
        <v>23.099999999999998</v>
      </c>
      <c r="E23" s="143"/>
      <c r="F23" s="143"/>
      <c r="G23" s="143"/>
      <c r="H23" s="143"/>
      <c r="I23" s="143"/>
      <c r="J23" s="143">
        <f>SUM(C23:H23)</f>
        <v>23.099999999999998</v>
      </c>
      <c r="K23" s="227"/>
      <c r="L23" s="244">
        <f>J30-L22</f>
        <v>0.37142857142857144</v>
      </c>
    </row>
    <row r="24" spans="1:15" x14ac:dyDescent="0.3">
      <c r="B24" s="411" t="s">
        <v>337</v>
      </c>
      <c r="C24" s="145"/>
      <c r="D24" s="145"/>
      <c r="E24" s="145"/>
      <c r="F24" s="145"/>
      <c r="G24" s="145"/>
      <c r="H24" s="145"/>
      <c r="I24" s="145"/>
      <c r="J24" s="143">
        <f>SUM(C24:H24)</f>
        <v>0</v>
      </c>
      <c r="K24" s="226"/>
    </row>
    <row r="25" spans="1:15" x14ac:dyDescent="0.3">
      <c r="B25" s="411" t="s">
        <v>17</v>
      </c>
      <c r="C25" s="412"/>
      <c r="D25" s="412"/>
      <c r="E25" s="412"/>
      <c r="F25" s="412">
        <v>0.86</v>
      </c>
      <c r="G25" s="412"/>
      <c r="H25" s="412"/>
      <c r="I25" s="412"/>
      <c r="J25" s="412">
        <f>SUM(C25:H25)</f>
        <v>0.86</v>
      </c>
      <c r="K25" s="226"/>
    </row>
    <row r="26" spans="1:15" x14ac:dyDescent="0.3">
      <c r="B26" s="411" t="s">
        <v>338</v>
      </c>
      <c r="C26" s="143"/>
      <c r="D26" s="143">
        <f>(C19-E22-D23)*0.86</f>
        <v>63.382000000000005</v>
      </c>
      <c r="E26" s="143"/>
      <c r="F26" s="143"/>
      <c r="G26" s="143"/>
      <c r="H26" s="143"/>
      <c r="I26" s="143"/>
      <c r="J26" s="143">
        <f>SUM(C26:H26)</f>
        <v>63.382000000000005</v>
      </c>
      <c r="K26" s="228"/>
    </row>
    <row r="27" spans="1:15" x14ac:dyDescent="0.3">
      <c r="B27" s="487"/>
      <c r="C27" s="143"/>
      <c r="D27" s="143"/>
      <c r="E27" s="143"/>
      <c r="F27" s="143"/>
      <c r="G27" s="143"/>
      <c r="H27" s="143"/>
      <c r="I27" s="143"/>
      <c r="J27" s="143"/>
      <c r="K27" s="226"/>
    </row>
    <row r="28" spans="1:15" x14ac:dyDescent="0.3">
      <c r="B28" s="19" t="s">
        <v>18</v>
      </c>
      <c r="C28" s="144"/>
      <c r="D28" s="144"/>
      <c r="E28" s="144"/>
      <c r="F28" s="144"/>
      <c r="G28" s="144"/>
      <c r="H28" s="144"/>
      <c r="I28" s="144"/>
      <c r="J28" s="144"/>
      <c r="K28" s="226"/>
      <c r="L28" s="221"/>
      <c r="M28" s="221"/>
    </row>
    <row r="29" spans="1:15" x14ac:dyDescent="0.3">
      <c r="B29" s="488" t="s">
        <v>19</v>
      </c>
      <c r="C29" s="489">
        <v>4</v>
      </c>
      <c r="D29" s="489"/>
      <c r="E29" s="489"/>
      <c r="F29" s="489"/>
      <c r="G29" s="489"/>
      <c r="H29" s="489"/>
      <c r="I29" s="489"/>
      <c r="J29" s="489">
        <f t="shared" ref="J29:J36" si="2">SUM(C29:H29)</f>
        <v>4</v>
      </c>
      <c r="K29" s="227"/>
    </row>
    <row r="30" spans="1:15" s="222" customFormat="1" x14ac:dyDescent="0.3">
      <c r="A30" s="27"/>
      <c r="B30" s="488" t="s">
        <v>20</v>
      </c>
      <c r="C30" s="490">
        <v>0</v>
      </c>
      <c r="D30" s="490"/>
      <c r="E30" s="490">
        <v>1</v>
      </c>
      <c r="F30" s="490"/>
      <c r="G30" s="490"/>
      <c r="H30" s="490"/>
      <c r="I30" s="490"/>
      <c r="J30" s="489">
        <f t="shared" si="2"/>
        <v>1</v>
      </c>
      <c r="K30" s="229"/>
    </row>
    <row r="31" spans="1:15" x14ac:dyDescent="0.3">
      <c r="B31" s="488" t="s">
        <v>21</v>
      </c>
      <c r="C31" s="489">
        <v>0</v>
      </c>
      <c r="D31" s="489"/>
      <c r="E31" s="489"/>
      <c r="F31" s="489"/>
      <c r="G31" s="489"/>
      <c r="H31" s="489"/>
      <c r="I31" s="489"/>
      <c r="J31" s="489">
        <f t="shared" si="2"/>
        <v>0</v>
      </c>
      <c r="K31" s="226"/>
    </row>
    <row r="32" spans="1:15" x14ac:dyDescent="0.3">
      <c r="B32" s="488" t="s">
        <v>22</v>
      </c>
      <c r="C32" s="489">
        <v>0</v>
      </c>
      <c r="D32" s="489"/>
      <c r="E32" s="489"/>
      <c r="F32" s="489"/>
      <c r="G32" s="489"/>
      <c r="H32" s="489"/>
      <c r="I32" s="489"/>
      <c r="J32" s="489">
        <f t="shared" si="2"/>
        <v>0</v>
      </c>
      <c r="K32" s="226"/>
    </row>
    <row r="33" spans="2:12" x14ac:dyDescent="0.3">
      <c r="B33" s="488" t="s">
        <v>23</v>
      </c>
      <c r="C33" s="489">
        <v>0</v>
      </c>
      <c r="D33" s="489"/>
      <c r="E33" s="489"/>
      <c r="F33" s="489"/>
      <c r="G33" s="489"/>
      <c r="H33" s="489"/>
      <c r="I33" s="489"/>
      <c r="J33" s="489">
        <f t="shared" si="2"/>
        <v>0</v>
      </c>
      <c r="K33" s="225"/>
    </row>
    <row r="34" spans="2:12" x14ac:dyDescent="0.3">
      <c r="B34" s="491" t="s">
        <v>24</v>
      </c>
      <c r="C34" s="489">
        <v>0</v>
      </c>
      <c r="D34" s="489"/>
      <c r="E34" s="489"/>
      <c r="F34" s="489"/>
      <c r="G34" s="489"/>
      <c r="H34" s="489"/>
      <c r="I34" s="489"/>
      <c r="J34" s="489">
        <f t="shared" si="2"/>
        <v>0</v>
      </c>
      <c r="K34" s="225"/>
    </row>
    <row r="35" spans="2:12" x14ac:dyDescent="0.3">
      <c r="B35" s="491" t="s">
        <v>25</v>
      </c>
      <c r="C35" s="489">
        <v>0</v>
      </c>
      <c r="D35" s="489"/>
      <c r="E35" s="489"/>
      <c r="F35" s="489"/>
      <c r="G35" s="489"/>
      <c r="H35" s="489"/>
      <c r="I35" s="489"/>
      <c r="J35" s="489">
        <f t="shared" si="2"/>
        <v>0</v>
      </c>
      <c r="K35" s="225"/>
    </row>
    <row r="36" spans="2:12" x14ac:dyDescent="0.3">
      <c r="B36" s="491" t="s">
        <v>26</v>
      </c>
      <c r="C36" s="489">
        <v>0</v>
      </c>
      <c r="D36" s="489"/>
      <c r="E36" s="489"/>
      <c r="F36" s="489"/>
      <c r="G36" s="489"/>
      <c r="H36" s="489"/>
      <c r="I36" s="489"/>
      <c r="J36" s="489">
        <f t="shared" si="2"/>
        <v>0</v>
      </c>
      <c r="K36" s="225"/>
    </row>
    <row r="37" spans="2:12" x14ac:dyDescent="0.3">
      <c r="B37" s="31" t="s">
        <v>27</v>
      </c>
      <c r="C37" s="492">
        <f t="shared" ref="C37:H37" si="3">SUM(C29:C36)</f>
        <v>4</v>
      </c>
      <c r="D37" s="492">
        <f t="shared" si="3"/>
        <v>0</v>
      </c>
      <c r="E37" s="492">
        <f t="shared" si="3"/>
        <v>1</v>
      </c>
      <c r="F37" s="492">
        <f t="shared" si="3"/>
        <v>0</v>
      </c>
      <c r="G37" s="492">
        <f t="shared" si="3"/>
        <v>0</v>
      </c>
      <c r="H37" s="492">
        <f t="shared" si="3"/>
        <v>0</v>
      </c>
      <c r="I37" s="492"/>
      <c r="J37" s="492">
        <f>SUM(J29:J36)</f>
        <v>5</v>
      </c>
      <c r="K37" s="231"/>
      <c r="L37" s="221"/>
    </row>
    <row r="38" spans="2:12" x14ac:dyDescent="0.3">
      <c r="B38" s="493"/>
      <c r="C38" s="143"/>
      <c r="D38" s="143"/>
      <c r="E38" s="143"/>
      <c r="F38" s="143"/>
      <c r="G38" s="143"/>
      <c r="H38" s="143"/>
      <c r="I38" s="143"/>
      <c r="J38" s="143"/>
      <c r="K38" s="225"/>
    </row>
    <row r="39" spans="2:12" x14ac:dyDescent="0.3">
      <c r="B39" s="19" t="s">
        <v>28</v>
      </c>
      <c r="C39" s="150" t="str">
        <f t="shared" ref="C39:J39" si="4">C1</f>
        <v>Operating</v>
      </c>
      <c r="D39" s="150" t="str">
        <f t="shared" si="4"/>
        <v>Weights</v>
      </c>
      <c r="E39" s="150" t="str">
        <f t="shared" si="4"/>
        <v>SPED</v>
      </c>
      <c r="F39" s="150" t="str">
        <f t="shared" si="4"/>
        <v>NSLP</v>
      </c>
      <c r="G39" s="150" t="str">
        <f t="shared" si="4"/>
        <v>CSP</v>
      </c>
      <c r="H39" s="150" t="str">
        <f t="shared" si="4"/>
        <v>Title I</v>
      </c>
      <c r="I39" s="150" t="str">
        <f t="shared" si="4"/>
        <v>Title II</v>
      </c>
      <c r="J39" s="150" t="str">
        <f t="shared" si="4"/>
        <v>Total</v>
      </c>
      <c r="K39" s="230"/>
    </row>
    <row r="40" spans="2:12" hidden="1" x14ac:dyDescent="0.3">
      <c r="B40" s="488" t="s">
        <v>29</v>
      </c>
      <c r="C40" s="151">
        <v>0</v>
      </c>
      <c r="D40" s="151">
        <v>0</v>
      </c>
      <c r="E40" s="151">
        <v>0</v>
      </c>
      <c r="F40" s="151">
        <v>0</v>
      </c>
      <c r="G40" s="151"/>
      <c r="H40" s="151">
        <v>0</v>
      </c>
      <c r="I40" s="151"/>
      <c r="J40" s="151">
        <v>0</v>
      </c>
      <c r="K40" s="225"/>
    </row>
    <row r="41" spans="2:12" x14ac:dyDescent="0.3">
      <c r="B41" s="488" t="s">
        <v>30</v>
      </c>
      <c r="C41" s="489">
        <v>1</v>
      </c>
      <c r="D41" s="489"/>
      <c r="E41" s="489"/>
      <c r="F41" s="489"/>
      <c r="G41" s="489"/>
      <c r="H41" s="489"/>
      <c r="I41" s="489"/>
      <c r="J41" s="489">
        <f t="shared" ref="J41:J60" si="5">SUM(C41:H41)</f>
        <v>1</v>
      </c>
      <c r="K41" s="225"/>
    </row>
    <row r="42" spans="2:12" x14ac:dyDescent="0.3">
      <c r="B42" s="488" t="s">
        <v>31</v>
      </c>
      <c r="C42" s="489">
        <v>0</v>
      </c>
      <c r="D42" s="489"/>
      <c r="E42" s="489"/>
      <c r="F42" s="489"/>
      <c r="G42" s="489"/>
      <c r="H42" s="489"/>
      <c r="I42" s="489"/>
      <c r="J42" s="489">
        <f t="shared" si="5"/>
        <v>0</v>
      </c>
      <c r="K42" s="225"/>
    </row>
    <row r="43" spans="2:12" x14ac:dyDescent="0.3">
      <c r="B43" s="488" t="s">
        <v>413</v>
      </c>
      <c r="C43" s="489">
        <v>0</v>
      </c>
      <c r="D43" s="489"/>
      <c r="E43" s="489"/>
      <c r="F43" s="489"/>
      <c r="G43" s="489">
        <v>1</v>
      </c>
      <c r="H43" s="489"/>
      <c r="I43" s="489"/>
      <c r="J43" s="489">
        <f t="shared" si="5"/>
        <v>1</v>
      </c>
      <c r="K43" s="225"/>
    </row>
    <row r="44" spans="2:12" x14ac:dyDescent="0.3">
      <c r="B44" s="494" t="s">
        <v>412</v>
      </c>
      <c r="C44" s="489">
        <v>0</v>
      </c>
      <c r="D44" s="489"/>
      <c r="E44" s="489"/>
      <c r="F44" s="489"/>
      <c r="G44" s="489">
        <v>0</v>
      </c>
      <c r="H44" s="489"/>
      <c r="I44" s="489"/>
      <c r="J44" s="489">
        <f t="shared" si="5"/>
        <v>0</v>
      </c>
      <c r="K44" s="225"/>
    </row>
    <row r="45" spans="2:12" x14ac:dyDescent="0.3">
      <c r="B45" s="494" t="s">
        <v>415</v>
      </c>
      <c r="C45" s="489">
        <v>0</v>
      </c>
      <c r="D45" s="489"/>
      <c r="E45" s="489"/>
      <c r="F45" s="489"/>
      <c r="G45" s="489">
        <v>0</v>
      </c>
      <c r="H45" s="489"/>
      <c r="I45" s="489"/>
      <c r="J45" s="489">
        <f t="shared" si="5"/>
        <v>0</v>
      </c>
      <c r="K45" s="225"/>
    </row>
    <row r="46" spans="2:12" x14ac:dyDescent="0.3">
      <c r="B46" s="488" t="s">
        <v>32</v>
      </c>
      <c r="C46" s="489">
        <v>1</v>
      </c>
      <c r="D46" s="489"/>
      <c r="E46" s="489"/>
      <c r="F46" s="489"/>
      <c r="G46" s="489"/>
      <c r="H46" s="489"/>
      <c r="I46" s="489"/>
      <c r="J46" s="489">
        <f t="shared" si="5"/>
        <v>1</v>
      </c>
      <c r="K46" s="225"/>
    </row>
    <row r="47" spans="2:12" x14ac:dyDescent="0.3">
      <c r="B47" s="488" t="s">
        <v>33</v>
      </c>
      <c r="C47" s="489">
        <v>0</v>
      </c>
      <c r="D47" s="489"/>
      <c r="E47" s="489"/>
      <c r="F47" s="489"/>
      <c r="G47" s="489"/>
      <c r="H47" s="489"/>
      <c r="I47" s="489"/>
      <c r="J47" s="489">
        <f t="shared" si="5"/>
        <v>0</v>
      </c>
      <c r="K47" s="225"/>
    </row>
    <row r="48" spans="2:12" x14ac:dyDescent="0.3">
      <c r="B48" s="488" t="s">
        <v>34</v>
      </c>
      <c r="C48" s="489">
        <v>0</v>
      </c>
      <c r="D48" s="489"/>
      <c r="E48" s="489"/>
      <c r="F48" s="489"/>
      <c r="G48" s="489"/>
      <c r="H48" s="489"/>
      <c r="I48" s="489"/>
      <c r="J48" s="489">
        <f t="shared" si="5"/>
        <v>0</v>
      </c>
      <c r="K48" s="225"/>
    </row>
    <row r="49" spans="2:15" x14ac:dyDescent="0.3">
      <c r="B49" s="488" t="s">
        <v>35</v>
      </c>
      <c r="C49" s="489">
        <v>0</v>
      </c>
      <c r="D49" s="489"/>
      <c r="E49" s="489"/>
      <c r="F49" s="489"/>
      <c r="G49" s="489"/>
      <c r="H49" s="489"/>
      <c r="I49" s="489"/>
      <c r="J49" s="489">
        <f t="shared" si="5"/>
        <v>0</v>
      </c>
      <c r="K49" s="225"/>
    </row>
    <row r="50" spans="2:15" x14ac:dyDescent="0.3">
      <c r="B50" s="488" t="s">
        <v>427</v>
      </c>
      <c r="C50" s="489">
        <v>0</v>
      </c>
      <c r="D50" s="489"/>
      <c r="E50" s="489">
        <v>0</v>
      </c>
      <c r="F50" s="489"/>
      <c r="G50" s="489"/>
      <c r="H50" s="489">
        <v>2</v>
      </c>
      <c r="I50" s="489"/>
      <c r="J50" s="489">
        <f t="shared" si="5"/>
        <v>2</v>
      </c>
      <c r="K50" s="225"/>
      <c r="L50" s="221"/>
      <c r="M50" s="221"/>
      <c r="N50" s="221"/>
      <c r="O50" s="221"/>
    </row>
    <row r="51" spans="2:15" x14ac:dyDescent="0.3">
      <c r="B51" s="488" t="s">
        <v>458</v>
      </c>
      <c r="C51" s="490">
        <v>0</v>
      </c>
      <c r="D51" s="489"/>
      <c r="E51" s="489"/>
      <c r="F51" s="489"/>
      <c r="G51" s="489"/>
      <c r="H51" s="489"/>
      <c r="I51" s="489"/>
      <c r="J51" s="489">
        <f t="shared" si="5"/>
        <v>0</v>
      </c>
      <c r="K51" s="225"/>
    </row>
    <row r="52" spans="2:15" x14ac:dyDescent="0.3">
      <c r="B52" s="488" t="s">
        <v>414</v>
      </c>
      <c r="C52" s="489">
        <v>0</v>
      </c>
      <c r="D52" s="489"/>
      <c r="E52" s="489"/>
      <c r="F52" s="489">
        <v>1</v>
      </c>
      <c r="G52" s="489"/>
      <c r="H52" s="489"/>
      <c r="I52" s="489"/>
      <c r="J52" s="489">
        <f t="shared" si="5"/>
        <v>1</v>
      </c>
      <c r="K52" s="225"/>
    </row>
    <row r="53" spans="2:15" x14ac:dyDescent="0.3">
      <c r="B53" s="495" t="s">
        <v>37</v>
      </c>
      <c r="C53" s="489">
        <v>0</v>
      </c>
      <c r="D53" s="489"/>
      <c r="E53" s="489"/>
      <c r="F53" s="489"/>
      <c r="G53" s="489"/>
      <c r="H53" s="489"/>
      <c r="I53" s="489"/>
      <c r="J53" s="489">
        <f t="shared" si="5"/>
        <v>0</v>
      </c>
      <c r="K53" s="225"/>
    </row>
    <row r="54" spans="2:15" x14ac:dyDescent="0.3">
      <c r="B54" s="495" t="s">
        <v>38</v>
      </c>
      <c r="C54" s="489">
        <v>0</v>
      </c>
      <c r="D54" s="489"/>
      <c r="E54" s="489"/>
      <c r="F54" s="489"/>
      <c r="G54" s="489"/>
      <c r="H54" s="489"/>
      <c r="I54" s="489"/>
      <c r="J54" s="489">
        <f t="shared" si="5"/>
        <v>0</v>
      </c>
      <c r="K54" s="225"/>
    </row>
    <row r="55" spans="2:15" x14ac:dyDescent="0.3">
      <c r="B55" s="495" t="s">
        <v>39</v>
      </c>
      <c r="C55" s="489">
        <v>0</v>
      </c>
      <c r="D55" s="489"/>
      <c r="E55" s="489"/>
      <c r="F55" s="489"/>
      <c r="G55" s="489"/>
      <c r="H55" s="489"/>
      <c r="I55" s="489"/>
      <c r="J55" s="489">
        <f t="shared" si="5"/>
        <v>0</v>
      </c>
      <c r="K55" s="225"/>
    </row>
    <row r="56" spans="2:15" x14ac:dyDescent="0.3">
      <c r="B56" s="495" t="s">
        <v>40</v>
      </c>
      <c r="C56" s="489">
        <v>0</v>
      </c>
      <c r="D56" s="489"/>
      <c r="E56" s="489"/>
      <c r="F56" s="489"/>
      <c r="G56" s="489"/>
      <c r="H56" s="489"/>
      <c r="I56" s="489"/>
      <c r="J56" s="489">
        <f t="shared" si="5"/>
        <v>0</v>
      </c>
      <c r="K56" s="225"/>
    </row>
    <row r="57" spans="2:15" x14ac:dyDescent="0.3">
      <c r="B57" s="495" t="s">
        <v>70</v>
      </c>
      <c r="C57" s="489">
        <v>0</v>
      </c>
      <c r="D57" s="489"/>
      <c r="E57" s="489"/>
      <c r="F57" s="489"/>
      <c r="G57" s="489"/>
      <c r="H57" s="489"/>
      <c r="I57" s="489"/>
      <c r="J57" s="489">
        <f t="shared" si="5"/>
        <v>0</v>
      </c>
      <c r="K57" s="225"/>
    </row>
    <row r="58" spans="2:15" x14ac:dyDescent="0.3">
      <c r="B58" s="495" t="s">
        <v>417</v>
      </c>
      <c r="C58" s="489">
        <v>0</v>
      </c>
      <c r="D58" s="489"/>
      <c r="E58" s="489"/>
      <c r="F58" s="489"/>
      <c r="G58" s="489">
        <v>1</v>
      </c>
      <c r="H58" s="489"/>
      <c r="I58" s="489"/>
      <c r="J58" s="489">
        <f t="shared" si="5"/>
        <v>1</v>
      </c>
      <c r="K58" s="231"/>
      <c r="L58" s="221"/>
    </row>
    <row r="59" spans="2:15" x14ac:dyDescent="0.3">
      <c r="B59" s="496"/>
      <c r="C59" s="489">
        <v>0</v>
      </c>
      <c r="D59" s="489"/>
      <c r="E59" s="489"/>
      <c r="F59" s="489"/>
      <c r="G59" s="489">
        <v>0</v>
      </c>
      <c r="H59" s="489"/>
      <c r="I59" s="489"/>
      <c r="J59" s="489">
        <f t="shared" si="5"/>
        <v>0</v>
      </c>
      <c r="K59" s="225"/>
    </row>
    <row r="60" spans="2:15" x14ac:dyDescent="0.3">
      <c r="B60" s="31" t="s">
        <v>41</v>
      </c>
      <c r="C60" s="151"/>
      <c r="D60" s="151"/>
      <c r="E60" s="151"/>
      <c r="F60" s="151"/>
      <c r="G60" s="151"/>
      <c r="H60" s="151"/>
      <c r="I60" s="151"/>
      <c r="J60" s="489">
        <f t="shared" si="5"/>
        <v>0</v>
      </c>
      <c r="K60" s="225"/>
    </row>
    <row r="61" spans="2:15" x14ac:dyDescent="0.3">
      <c r="B61" s="41"/>
      <c r="C61" s="152">
        <f t="shared" ref="C61:H61" si="6">SUM(C40:C60)</f>
        <v>2</v>
      </c>
      <c r="D61" s="152">
        <f t="shared" si="6"/>
        <v>0</v>
      </c>
      <c r="E61" s="152">
        <f t="shared" si="6"/>
        <v>0</v>
      </c>
      <c r="F61" s="152">
        <f t="shared" si="6"/>
        <v>1</v>
      </c>
      <c r="G61" s="152">
        <f t="shared" si="6"/>
        <v>2</v>
      </c>
      <c r="H61" s="152">
        <f t="shared" si="6"/>
        <v>2</v>
      </c>
      <c r="I61" s="152"/>
      <c r="J61" s="152">
        <f>SUM(J40:J60)</f>
        <v>7</v>
      </c>
      <c r="K61" s="225"/>
    </row>
    <row r="62" spans="2:15" ht="15" thickBot="1" x14ac:dyDescent="0.35">
      <c r="B62" s="43" t="s">
        <v>42</v>
      </c>
      <c r="C62" s="153"/>
      <c r="D62" s="153"/>
      <c r="E62" s="153"/>
      <c r="F62" s="153"/>
      <c r="G62" s="153"/>
      <c r="H62" s="153"/>
      <c r="I62" s="153"/>
      <c r="J62" s="153"/>
      <c r="K62" s="225"/>
    </row>
    <row r="63" spans="2:15" ht="15" thickBot="1" x14ac:dyDescent="0.35">
      <c r="B63" s="45" t="s">
        <v>43</v>
      </c>
      <c r="C63" s="497">
        <f t="shared" ref="C63:H63" si="7">C37</f>
        <v>4</v>
      </c>
      <c r="D63" s="497">
        <f t="shared" si="7"/>
        <v>0</v>
      </c>
      <c r="E63" s="497">
        <f t="shared" si="7"/>
        <v>1</v>
      </c>
      <c r="F63" s="497">
        <f t="shared" si="7"/>
        <v>0</v>
      </c>
      <c r="G63" s="497">
        <f t="shared" si="7"/>
        <v>0</v>
      </c>
      <c r="H63" s="497">
        <f t="shared" si="7"/>
        <v>0</v>
      </c>
      <c r="I63" s="497"/>
      <c r="J63" s="497">
        <f>J37</f>
        <v>5</v>
      </c>
      <c r="K63" s="225"/>
    </row>
    <row r="64" spans="2:15" x14ac:dyDescent="0.3">
      <c r="B64" s="47" t="s">
        <v>44</v>
      </c>
      <c r="C64" s="498">
        <f t="shared" ref="C64:H64" si="8">C61</f>
        <v>2</v>
      </c>
      <c r="D64" s="498">
        <f t="shared" si="8"/>
        <v>0</v>
      </c>
      <c r="E64" s="498">
        <f t="shared" si="8"/>
        <v>0</v>
      </c>
      <c r="F64" s="498">
        <f t="shared" si="8"/>
        <v>1</v>
      </c>
      <c r="G64" s="498">
        <f t="shared" si="8"/>
        <v>2</v>
      </c>
      <c r="H64" s="498">
        <f t="shared" si="8"/>
        <v>2</v>
      </c>
      <c r="I64" s="498"/>
      <c r="J64" s="498">
        <f>J61</f>
        <v>7</v>
      </c>
      <c r="K64" s="225"/>
    </row>
    <row r="65" spans="1:14" ht="15" thickBot="1" x14ac:dyDescent="0.35">
      <c r="B65" s="495"/>
      <c r="C65" s="499">
        <f t="shared" ref="C65:H65" si="9">SUM(C63:C64)</f>
        <v>6</v>
      </c>
      <c r="D65" s="499">
        <f t="shared" si="9"/>
        <v>0</v>
      </c>
      <c r="E65" s="499">
        <f t="shared" si="9"/>
        <v>1</v>
      </c>
      <c r="F65" s="499">
        <f t="shared" si="9"/>
        <v>1</v>
      </c>
      <c r="G65" s="499">
        <f t="shared" si="9"/>
        <v>2</v>
      </c>
      <c r="H65" s="499">
        <f t="shared" si="9"/>
        <v>2</v>
      </c>
      <c r="I65" s="499"/>
      <c r="J65" s="499">
        <f>SUM(J63:J64)</f>
        <v>12</v>
      </c>
      <c r="K65" s="225"/>
    </row>
    <row r="66" spans="1:14" ht="15" thickBot="1" x14ac:dyDescent="0.35">
      <c r="B66" s="500" t="s">
        <v>45</v>
      </c>
      <c r="C66" s="154"/>
      <c r="D66" s="154"/>
      <c r="E66" s="154"/>
      <c r="F66" s="154"/>
      <c r="G66" s="154"/>
      <c r="H66" s="154"/>
      <c r="I66" s="154"/>
      <c r="J66" s="154"/>
      <c r="K66" s="225"/>
    </row>
    <row r="67" spans="1:14" x14ac:dyDescent="0.3">
      <c r="B67" s="493" t="s">
        <v>46</v>
      </c>
      <c r="C67" s="51"/>
      <c r="D67" s="432"/>
      <c r="E67" s="51"/>
      <c r="F67" s="51"/>
      <c r="G67" s="51"/>
      <c r="H67" s="51"/>
      <c r="I67" s="51"/>
      <c r="J67" s="432">
        <f>J136/(J203+J205+J206+J207+J208+J209)</f>
        <v>0.53965692904550666</v>
      </c>
      <c r="K67" s="225"/>
    </row>
    <row r="68" spans="1:14" s="62" customFormat="1" x14ac:dyDescent="0.3">
      <c r="A68" s="57"/>
      <c r="B68" s="501" t="s">
        <v>47</v>
      </c>
      <c r="C68" s="53"/>
      <c r="D68" s="433"/>
      <c r="E68" s="53"/>
      <c r="F68" s="53"/>
      <c r="G68" s="53"/>
      <c r="H68" s="53"/>
      <c r="I68" s="53"/>
      <c r="J68" s="433">
        <f>(J108+J109+J112+J123)/J128</f>
        <v>0.51019260508927311</v>
      </c>
      <c r="K68" s="225"/>
    </row>
    <row r="69" spans="1:14" s="62" customFormat="1" ht="15" thickBot="1" x14ac:dyDescent="0.35">
      <c r="A69" s="57"/>
      <c r="B69" s="502" t="s">
        <v>48</v>
      </c>
      <c r="C69" s="53"/>
      <c r="D69" s="433"/>
      <c r="E69" s="53"/>
      <c r="F69" s="53"/>
      <c r="G69" s="53"/>
      <c r="H69" s="53"/>
      <c r="I69" s="53"/>
      <c r="J69" s="433">
        <f>(J102+J103+J104+J107+J110+J111+J113+J114+J117+J118+J119+J120+J121+J122+J125+J126)/J128</f>
        <v>0.28771263883031067</v>
      </c>
      <c r="K69" s="225"/>
    </row>
    <row r="70" spans="1:14" s="62" customFormat="1" ht="15" thickBot="1" x14ac:dyDescent="0.35">
      <c r="A70" s="57"/>
      <c r="B70" s="540"/>
      <c r="C70" s="56"/>
      <c r="D70" s="434"/>
      <c r="E70" s="56"/>
      <c r="F70" s="56"/>
      <c r="G70" s="56"/>
      <c r="H70" s="56"/>
      <c r="I70" s="56"/>
      <c r="J70" s="434">
        <f>(J206+J207+J208+J209)/(J98-J87)</f>
        <v>3.4109440947503213E-2</v>
      </c>
      <c r="K70" s="225"/>
    </row>
    <row r="71" spans="1:14" s="62" customFormat="1" x14ac:dyDescent="0.3">
      <c r="A71" s="57"/>
      <c r="B71"/>
      <c r="C71" s="154"/>
      <c r="D71" s="154"/>
      <c r="E71" s="154"/>
      <c r="F71" s="154"/>
      <c r="G71" s="154"/>
      <c r="H71" s="154"/>
      <c r="I71" s="154"/>
      <c r="J71" s="154"/>
      <c r="K71" s="225"/>
    </row>
    <row r="72" spans="1:14" x14ac:dyDescent="0.3">
      <c r="A72" s="63"/>
      <c r="B72" s="503" t="s">
        <v>440</v>
      </c>
      <c r="C72" s="504" t="str">
        <f t="shared" ref="C72:J72" si="10">C1</f>
        <v>Operating</v>
      </c>
      <c r="D72" s="504" t="str">
        <f t="shared" si="10"/>
        <v>Weights</v>
      </c>
      <c r="E72" s="504" t="str">
        <f t="shared" si="10"/>
        <v>SPED</v>
      </c>
      <c r="F72" s="504" t="str">
        <f t="shared" si="10"/>
        <v>NSLP</v>
      </c>
      <c r="G72" s="504" t="str">
        <f t="shared" si="10"/>
        <v>CSP</v>
      </c>
      <c r="H72" s="504" t="str">
        <f t="shared" si="10"/>
        <v>Title I</v>
      </c>
      <c r="I72" s="504" t="str">
        <f t="shared" si="10"/>
        <v>Title II</v>
      </c>
      <c r="J72" s="504" t="str">
        <f t="shared" si="10"/>
        <v>Total</v>
      </c>
      <c r="K72" s="232"/>
      <c r="L72" s="273" t="s">
        <v>221</v>
      </c>
      <c r="M72" s="273" t="s">
        <v>222</v>
      </c>
      <c r="N72" s="273" t="s">
        <v>223</v>
      </c>
    </row>
    <row r="73" spans="1:14" x14ac:dyDescent="0.3">
      <c r="A73" s="67">
        <v>3110</v>
      </c>
      <c r="B73" s="413" t="s">
        <v>339</v>
      </c>
      <c r="C73" s="156">
        <f>(C2*C5)</f>
        <v>802249.8</v>
      </c>
      <c r="D73" s="156"/>
      <c r="E73" s="156"/>
      <c r="F73" s="156"/>
      <c r="G73" s="156"/>
      <c r="H73" s="156"/>
      <c r="I73" s="156"/>
      <c r="J73" s="143">
        <f t="shared" ref="J73:J84" si="11">SUM(C73:I73)</f>
        <v>802249.8</v>
      </c>
      <c r="K73" s="233"/>
      <c r="L73" s="219">
        <v>200</v>
      </c>
      <c r="M73" s="219">
        <v>280</v>
      </c>
      <c r="N73" s="219">
        <v>364</v>
      </c>
    </row>
    <row r="74" spans="1:14" x14ac:dyDescent="0.3">
      <c r="A74" s="67">
        <v>4500</v>
      </c>
      <c r="B74" s="409" t="s">
        <v>331</v>
      </c>
      <c r="C74" s="143"/>
      <c r="D74" s="143"/>
      <c r="E74" s="143"/>
      <c r="F74" s="143">
        <f>(C19*F25)*3.5*180+((C19*F25)*1.84*180)</f>
        <v>90929.51999999999</v>
      </c>
      <c r="G74" s="143"/>
      <c r="H74" s="143"/>
      <c r="I74" s="143"/>
      <c r="J74" s="143">
        <f t="shared" si="11"/>
        <v>90929.51999999999</v>
      </c>
      <c r="K74" s="234"/>
      <c r="L74" s="272">
        <v>91981</v>
      </c>
      <c r="M74" s="272">
        <v>89741.34</v>
      </c>
      <c r="N74" s="272">
        <f>233347-50000</f>
        <v>183347</v>
      </c>
    </row>
    <row r="75" spans="1:14" x14ac:dyDescent="0.3">
      <c r="A75" s="67">
        <v>4500</v>
      </c>
      <c r="B75" s="409" t="s">
        <v>330</v>
      </c>
      <c r="C75" s="143"/>
      <c r="D75" s="143"/>
      <c r="E75" s="143">
        <f>950*10</f>
        <v>9500</v>
      </c>
      <c r="F75" s="143"/>
      <c r="G75" s="143"/>
      <c r="H75" s="143"/>
      <c r="I75" s="143"/>
      <c r="J75" s="143">
        <f t="shared" si="11"/>
        <v>9500</v>
      </c>
      <c r="K75" s="235"/>
      <c r="M75" s="274"/>
    </row>
    <row r="76" spans="1:14" x14ac:dyDescent="0.3">
      <c r="A76" s="74">
        <v>3115</v>
      </c>
      <c r="B76" s="410" t="s">
        <v>51</v>
      </c>
      <c r="C76" s="153">
        <v>0</v>
      </c>
      <c r="D76" s="153"/>
      <c r="E76" s="153"/>
      <c r="F76" s="153"/>
      <c r="G76" s="153"/>
      <c r="H76" s="153"/>
      <c r="I76" s="153"/>
      <c r="J76" s="143">
        <f t="shared" si="11"/>
        <v>0</v>
      </c>
      <c r="K76" s="235"/>
    </row>
    <row r="77" spans="1:14" x14ac:dyDescent="0.3">
      <c r="A77" s="74"/>
      <c r="B77" s="410" t="s">
        <v>384</v>
      </c>
      <c r="C77" s="153"/>
      <c r="D77" s="153"/>
      <c r="E77" s="153"/>
      <c r="F77" s="153"/>
      <c r="G77" s="153"/>
      <c r="H77" s="153">
        <f>((C19*F25)*0.9)*425</f>
        <v>36184.5</v>
      </c>
      <c r="I77" s="153"/>
      <c r="J77" s="143">
        <f t="shared" si="11"/>
        <v>36184.5</v>
      </c>
      <c r="K77" s="235"/>
    </row>
    <row r="78" spans="1:14" x14ac:dyDescent="0.3">
      <c r="A78" s="74"/>
      <c r="B78" s="410" t="s">
        <v>390</v>
      </c>
      <c r="C78" s="153"/>
      <c r="D78" s="153"/>
      <c r="E78" s="153"/>
      <c r="F78" s="153"/>
      <c r="G78" s="153"/>
      <c r="H78" s="153">
        <v>0</v>
      </c>
      <c r="I78" s="153">
        <f>85*122</f>
        <v>10370</v>
      </c>
      <c r="J78" s="143">
        <f t="shared" si="11"/>
        <v>10370</v>
      </c>
      <c r="K78" s="235"/>
    </row>
    <row r="79" spans="1:14" x14ac:dyDescent="0.3">
      <c r="A79" s="74"/>
      <c r="B79" s="409" t="s">
        <v>333</v>
      </c>
      <c r="C79" s="153">
        <v>0</v>
      </c>
      <c r="D79" s="13">
        <f>1635.98*0</f>
        <v>0</v>
      </c>
      <c r="E79" s="153"/>
      <c r="F79" s="153"/>
      <c r="G79" s="153"/>
      <c r="H79" s="153"/>
      <c r="I79" s="153"/>
      <c r="J79" s="143">
        <f t="shared" si="11"/>
        <v>0</v>
      </c>
      <c r="K79" s="235"/>
      <c r="L79" s="414">
        <f>7074*0.23</f>
        <v>1627.02</v>
      </c>
      <c r="M79" s="219" t="s">
        <v>342</v>
      </c>
    </row>
    <row r="80" spans="1:14" x14ac:dyDescent="0.3">
      <c r="A80" s="67">
        <v>3200</v>
      </c>
      <c r="B80" s="409" t="s">
        <v>441</v>
      </c>
      <c r="C80" s="143">
        <v>0</v>
      </c>
      <c r="D80" s="505">
        <f>848.83*0</f>
        <v>0</v>
      </c>
      <c r="E80" s="143"/>
      <c r="F80" s="143"/>
      <c r="G80" s="143"/>
      <c r="H80" s="143"/>
      <c r="I80" s="143"/>
      <c r="J80" s="143">
        <f t="shared" si="11"/>
        <v>0</v>
      </c>
      <c r="K80" s="235"/>
      <c r="L80" s="414">
        <f>7074*0.12</f>
        <v>848.88</v>
      </c>
      <c r="M80" s="219" t="s">
        <v>343</v>
      </c>
    </row>
    <row r="81" spans="1:14" x14ac:dyDescent="0.3">
      <c r="A81" s="67"/>
      <c r="B81" s="409" t="s">
        <v>334</v>
      </c>
      <c r="C81" s="143">
        <v>0</v>
      </c>
      <c r="D81" s="13">
        <f>247.07*0</f>
        <v>0</v>
      </c>
      <c r="E81" s="143"/>
      <c r="F81" s="143"/>
      <c r="G81" s="143"/>
      <c r="H81" s="143"/>
      <c r="I81" s="143"/>
      <c r="J81" s="143">
        <f t="shared" si="11"/>
        <v>0</v>
      </c>
      <c r="K81" s="225"/>
      <c r="L81" s="414">
        <f>7074*0.03</f>
        <v>212.22</v>
      </c>
      <c r="M81" s="274" t="s">
        <v>344</v>
      </c>
      <c r="N81" s="274"/>
    </row>
    <row r="82" spans="1:14" x14ac:dyDescent="0.3">
      <c r="A82" s="67"/>
      <c r="B82" s="506" t="s">
        <v>459</v>
      </c>
      <c r="C82" s="143"/>
      <c r="D82" s="143"/>
      <c r="E82" s="143"/>
      <c r="F82" s="143"/>
      <c r="G82" s="143">
        <v>419781.1</v>
      </c>
      <c r="H82" s="143"/>
      <c r="I82" s="143"/>
      <c r="J82" s="143">
        <f t="shared" si="11"/>
        <v>419781.1</v>
      </c>
      <c r="K82" s="225"/>
      <c r="L82" s="274"/>
      <c r="M82" s="274"/>
      <c r="N82" s="274"/>
    </row>
    <row r="83" spans="1:14" x14ac:dyDescent="0.3">
      <c r="A83" s="67"/>
      <c r="B83" s="549" t="s">
        <v>460</v>
      </c>
      <c r="C83" s="145">
        <v>200000</v>
      </c>
      <c r="D83" s="145"/>
      <c r="E83" s="145"/>
      <c r="F83" s="145"/>
      <c r="G83" s="145">
        <v>0</v>
      </c>
      <c r="H83" s="145"/>
      <c r="I83" s="145"/>
      <c r="J83" s="145">
        <f t="shared" si="11"/>
        <v>200000</v>
      </c>
      <c r="K83" s="225"/>
      <c r="L83" s="274"/>
      <c r="M83" s="274"/>
      <c r="N83" s="274"/>
    </row>
    <row r="84" spans="1:14" ht="15" thickBot="1" x14ac:dyDescent="0.35">
      <c r="A84" s="67"/>
      <c r="B84" s="506" t="s">
        <v>428</v>
      </c>
      <c r="C84" s="143"/>
      <c r="D84" s="143"/>
      <c r="E84" s="143"/>
      <c r="F84" s="143"/>
      <c r="G84" s="143"/>
      <c r="H84" s="143"/>
      <c r="I84" s="143"/>
      <c r="J84" s="143">
        <f t="shared" si="11"/>
        <v>0</v>
      </c>
      <c r="K84" s="431"/>
      <c r="L84" s="167"/>
    </row>
    <row r="85" spans="1:14" ht="15" thickBot="1" x14ac:dyDescent="0.35">
      <c r="A85" s="75"/>
      <c r="B85" s="507" t="s">
        <v>52</v>
      </c>
      <c r="C85" s="508">
        <f t="shared" ref="C85:J85" si="12">SUM(C73:C84)</f>
        <v>1002249.8</v>
      </c>
      <c r="D85" s="508">
        <f t="shared" si="12"/>
        <v>0</v>
      </c>
      <c r="E85" s="508">
        <f t="shared" si="12"/>
        <v>9500</v>
      </c>
      <c r="F85" s="508">
        <f t="shared" si="12"/>
        <v>90929.51999999999</v>
      </c>
      <c r="G85" s="508">
        <f t="shared" si="12"/>
        <v>419781.1</v>
      </c>
      <c r="H85" s="508">
        <f t="shared" si="12"/>
        <v>36184.5</v>
      </c>
      <c r="I85" s="508">
        <f t="shared" si="12"/>
        <v>10370</v>
      </c>
      <c r="J85" s="508">
        <f t="shared" si="12"/>
        <v>1569014.92</v>
      </c>
      <c r="K85" s="225"/>
    </row>
    <row r="86" spans="1:14" hidden="1" x14ac:dyDescent="0.3">
      <c r="A86" s="78"/>
      <c r="B86" s="410" t="s">
        <v>53</v>
      </c>
      <c r="C86" s="157">
        <f>C2*C5</f>
        <v>802249.8</v>
      </c>
      <c r="D86" s="157"/>
      <c r="E86" s="157"/>
      <c r="F86" s="157"/>
      <c r="G86" s="157"/>
      <c r="H86" s="157"/>
      <c r="I86" s="157"/>
      <c r="J86" s="143">
        <f t="shared" ref="J86:J97" si="13">SUM(C86:I86)</f>
        <v>802249.8</v>
      </c>
      <c r="K86" s="231"/>
    </row>
    <row r="87" spans="1:14" hidden="1" x14ac:dyDescent="0.3">
      <c r="A87" s="67"/>
      <c r="B87" s="409" t="str">
        <f t="shared" ref="B87:C89" si="14">B74</f>
        <v>National School Lunch Program (NSLP)</v>
      </c>
      <c r="C87" s="143">
        <f>C74</f>
        <v>0</v>
      </c>
      <c r="D87" s="143">
        <f t="shared" ref="D87:I87" si="15">D74</f>
        <v>0</v>
      </c>
      <c r="E87" s="143">
        <f t="shared" si="15"/>
        <v>0</v>
      </c>
      <c r="F87" s="143">
        <f t="shared" si="15"/>
        <v>90929.51999999999</v>
      </c>
      <c r="G87" s="143">
        <f t="shared" si="15"/>
        <v>0</v>
      </c>
      <c r="H87" s="143">
        <f t="shared" si="15"/>
        <v>0</v>
      </c>
      <c r="I87" s="143">
        <f t="shared" si="15"/>
        <v>0</v>
      </c>
      <c r="J87" s="143">
        <f t="shared" si="13"/>
        <v>90929.51999999999</v>
      </c>
      <c r="K87" s="225"/>
    </row>
    <row r="88" spans="1:14" hidden="1" x14ac:dyDescent="0.3">
      <c r="A88" s="67"/>
      <c r="B88" s="409" t="str">
        <f t="shared" si="14"/>
        <v>SPED Funding (Part B)</v>
      </c>
      <c r="C88" s="143">
        <f t="shared" si="14"/>
        <v>0</v>
      </c>
      <c r="D88" s="143">
        <f t="shared" ref="D88:I88" si="16">D75</f>
        <v>0</v>
      </c>
      <c r="E88" s="143">
        <f t="shared" si="16"/>
        <v>9500</v>
      </c>
      <c r="F88" s="143">
        <f t="shared" si="16"/>
        <v>0</v>
      </c>
      <c r="G88" s="143">
        <f t="shared" si="16"/>
        <v>0</v>
      </c>
      <c r="H88" s="143">
        <f t="shared" si="16"/>
        <v>0</v>
      </c>
      <c r="I88" s="143">
        <f t="shared" si="16"/>
        <v>0</v>
      </c>
      <c r="J88" s="143">
        <f t="shared" si="13"/>
        <v>9500</v>
      </c>
      <c r="K88" s="225"/>
    </row>
    <row r="89" spans="1:14" hidden="1" x14ac:dyDescent="0.3">
      <c r="A89" s="74"/>
      <c r="B89" s="409" t="str">
        <f t="shared" si="14"/>
        <v>SPED Discretionary Unit</v>
      </c>
      <c r="C89" s="143">
        <f t="shared" si="14"/>
        <v>0</v>
      </c>
      <c r="D89" s="143">
        <f t="shared" ref="D89:I89" si="17">D76</f>
        <v>0</v>
      </c>
      <c r="E89" s="143">
        <f t="shared" si="17"/>
        <v>0</v>
      </c>
      <c r="F89" s="143">
        <f t="shared" si="17"/>
        <v>0</v>
      </c>
      <c r="G89" s="143">
        <f t="shared" si="17"/>
        <v>0</v>
      </c>
      <c r="H89" s="143">
        <f t="shared" si="17"/>
        <v>0</v>
      </c>
      <c r="I89" s="143">
        <f t="shared" si="17"/>
        <v>0</v>
      </c>
      <c r="J89" s="143">
        <f t="shared" si="13"/>
        <v>0</v>
      </c>
      <c r="K89" s="225"/>
    </row>
    <row r="90" spans="1:14" hidden="1" x14ac:dyDescent="0.3">
      <c r="A90" s="74"/>
      <c r="B90" s="409" t="s">
        <v>384</v>
      </c>
      <c r="C90" s="143">
        <f t="shared" ref="C90:I97" si="18">C77</f>
        <v>0</v>
      </c>
      <c r="D90" s="143">
        <f t="shared" si="18"/>
        <v>0</v>
      </c>
      <c r="E90" s="143">
        <f t="shared" si="18"/>
        <v>0</v>
      </c>
      <c r="F90" s="143">
        <f t="shared" si="18"/>
        <v>0</v>
      </c>
      <c r="G90" s="143">
        <f t="shared" si="18"/>
        <v>0</v>
      </c>
      <c r="H90" s="143">
        <f t="shared" si="18"/>
        <v>36184.5</v>
      </c>
      <c r="I90" s="143">
        <f t="shared" si="18"/>
        <v>0</v>
      </c>
      <c r="J90" s="143">
        <f t="shared" si="13"/>
        <v>36184.5</v>
      </c>
      <c r="K90" s="225"/>
    </row>
    <row r="91" spans="1:14" hidden="1" x14ac:dyDescent="0.3">
      <c r="A91" s="74"/>
      <c r="B91" s="410" t="s">
        <v>390</v>
      </c>
      <c r="C91" s="143">
        <f t="shared" si="18"/>
        <v>0</v>
      </c>
      <c r="D91" s="143">
        <f t="shared" si="18"/>
        <v>0</v>
      </c>
      <c r="E91" s="143">
        <f t="shared" si="18"/>
        <v>0</v>
      </c>
      <c r="F91" s="143">
        <f t="shared" si="18"/>
        <v>0</v>
      </c>
      <c r="G91" s="143">
        <f t="shared" si="18"/>
        <v>0</v>
      </c>
      <c r="H91" s="143">
        <f t="shared" si="18"/>
        <v>0</v>
      </c>
      <c r="I91" s="143">
        <f t="shared" si="18"/>
        <v>10370</v>
      </c>
      <c r="J91" s="143">
        <f t="shared" si="13"/>
        <v>10370</v>
      </c>
      <c r="K91" s="225"/>
    </row>
    <row r="92" spans="1:14" hidden="1" x14ac:dyDescent="0.3">
      <c r="A92" s="67"/>
      <c r="B92" s="409" t="str">
        <f t="shared" ref="B92:B97" si="19">B79</f>
        <v>ELL Weight</v>
      </c>
      <c r="C92" s="143">
        <f t="shared" si="18"/>
        <v>0</v>
      </c>
      <c r="D92" s="143">
        <f t="shared" si="18"/>
        <v>0</v>
      </c>
      <c r="E92" s="143">
        <f t="shared" si="18"/>
        <v>0</v>
      </c>
      <c r="F92" s="143">
        <f t="shared" si="18"/>
        <v>0</v>
      </c>
      <c r="G92" s="143">
        <f t="shared" si="18"/>
        <v>0</v>
      </c>
      <c r="H92" s="143">
        <f t="shared" si="18"/>
        <v>0</v>
      </c>
      <c r="I92" s="143">
        <f t="shared" si="18"/>
        <v>0</v>
      </c>
      <c r="J92" s="143">
        <f t="shared" si="13"/>
        <v>0</v>
      </c>
      <c r="K92" s="225"/>
    </row>
    <row r="93" spans="1:14" hidden="1" x14ac:dyDescent="0.3">
      <c r="A93" s="67"/>
      <c r="B93" s="409" t="str">
        <f t="shared" si="19"/>
        <v>Gifted and Talented Education (GATE)</v>
      </c>
      <c r="C93" s="143">
        <f t="shared" si="18"/>
        <v>0</v>
      </c>
      <c r="D93" s="143">
        <f t="shared" si="18"/>
        <v>0</v>
      </c>
      <c r="E93" s="143">
        <f t="shared" si="18"/>
        <v>0</v>
      </c>
      <c r="F93" s="143">
        <f t="shared" si="18"/>
        <v>0</v>
      </c>
      <c r="G93" s="143">
        <f t="shared" si="18"/>
        <v>0</v>
      </c>
      <c r="H93" s="143">
        <f t="shared" si="18"/>
        <v>0</v>
      </c>
      <c r="I93" s="143">
        <f t="shared" si="18"/>
        <v>0</v>
      </c>
      <c r="J93" s="143">
        <f t="shared" si="13"/>
        <v>0</v>
      </c>
      <c r="K93" s="225"/>
    </row>
    <row r="94" spans="1:14" hidden="1" x14ac:dyDescent="0.3">
      <c r="A94" s="67"/>
      <c r="B94" s="409" t="str">
        <f t="shared" si="19"/>
        <v>At-Risk Weight</v>
      </c>
      <c r="C94" s="143">
        <f t="shared" si="18"/>
        <v>0</v>
      </c>
      <c r="D94" s="143">
        <f t="shared" si="18"/>
        <v>0</v>
      </c>
      <c r="E94" s="143">
        <f t="shared" si="18"/>
        <v>0</v>
      </c>
      <c r="F94" s="143">
        <f t="shared" si="18"/>
        <v>0</v>
      </c>
      <c r="G94" s="143">
        <f t="shared" si="18"/>
        <v>0</v>
      </c>
      <c r="H94" s="143">
        <f t="shared" si="18"/>
        <v>0</v>
      </c>
      <c r="I94" s="143">
        <f t="shared" si="18"/>
        <v>0</v>
      </c>
      <c r="J94" s="143">
        <f t="shared" si="13"/>
        <v>0</v>
      </c>
      <c r="K94" s="225"/>
    </row>
    <row r="95" spans="1:14" hidden="1" x14ac:dyDescent="0.3">
      <c r="A95" s="67"/>
      <c r="B95" s="409" t="str">
        <f t="shared" si="19"/>
        <v xml:space="preserve">OTHER: CSP Grant </v>
      </c>
      <c r="C95" s="143">
        <f t="shared" si="18"/>
        <v>0</v>
      </c>
      <c r="D95" s="143">
        <f t="shared" si="18"/>
        <v>0</v>
      </c>
      <c r="E95" s="143">
        <f t="shared" si="18"/>
        <v>0</v>
      </c>
      <c r="F95" s="143">
        <f t="shared" si="18"/>
        <v>0</v>
      </c>
      <c r="G95" s="143">
        <f t="shared" si="18"/>
        <v>419781.1</v>
      </c>
      <c r="H95" s="143">
        <f t="shared" si="18"/>
        <v>0</v>
      </c>
      <c r="I95" s="143">
        <f t="shared" si="18"/>
        <v>0</v>
      </c>
      <c r="J95" s="143">
        <f t="shared" si="13"/>
        <v>419781.1</v>
      </c>
      <c r="K95" s="225"/>
    </row>
    <row r="96" spans="1:14" hidden="1" x14ac:dyDescent="0.3">
      <c r="A96" s="67"/>
      <c r="B96" s="409" t="str">
        <f t="shared" si="19"/>
        <v>OTHER: Donation (SANDS Corporation)</v>
      </c>
      <c r="C96" s="143">
        <f t="shared" si="18"/>
        <v>200000</v>
      </c>
      <c r="D96" s="143">
        <f t="shared" si="18"/>
        <v>0</v>
      </c>
      <c r="E96" s="143">
        <f t="shared" si="18"/>
        <v>0</v>
      </c>
      <c r="F96" s="143">
        <f t="shared" si="18"/>
        <v>0</v>
      </c>
      <c r="G96" s="143">
        <f t="shared" si="18"/>
        <v>0</v>
      </c>
      <c r="H96" s="143">
        <f t="shared" si="18"/>
        <v>0</v>
      </c>
      <c r="I96" s="143">
        <f t="shared" si="18"/>
        <v>0</v>
      </c>
      <c r="J96" s="143">
        <f t="shared" si="13"/>
        <v>200000</v>
      </c>
      <c r="K96" s="225"/>
    </row>
    <row r="97" spans="1:16" hidden="1" x14ac:dyDescent="0.3">
      <c r="A97" s="67"/>
      <c r="B97" s="409" t="str">
        <f t="shared" si="19"/>
        <v>OTHER: Tenant Improvements Donation</v>
      </c>
      <c r="C97" s="143">
        <f t="shared" si="18"/>
        <v>0</v>
      </c>
      <c r="D97" s="143">
        <f t="shared" si="18"/>
        <v>0</v>
      </c>
      <c r="E97" s="143">
        <f t="shared" si="18"/>
        <v>0</v>
      </c>
      <c r="F97" s="143">
        <f t="shared" si="18"/>
        <v>0</v>
      </c>
      <c r="G97" s="143">
        <f t="shared" si="18"/>
        <v>0</v>
      </c>
      <c r="H97" s="143">
        <f t="shared" si="18"/>
        <v>0</v>
      </c>
      <c r="I97" s="143">
        <f t="shared" si="18"/>
        <v>0</v>
      </c>
      <c r="J97" s="143">
        <f t="shared" si="13"/>
        <v>0</v>
      </c>
      <c r="K97" s="225"/>
    </row>
    <row r="98" spans="1:16" hidden="1" x14ac:dyDescent="0.3">
      <c r="A98" s="67"/>
      <c r="B98" s="509" t="s">
        <v>54</v>
      </c>
      <c r="C98" s="158">
        <f>SUM(C86:C97)</f>
        <v>1002249.8</v>
      </c>
      <c r="D98" s="158">
        <f>SUM(D86:D97)</f>
        <v>0</v>
      </c>
      <c r="E98" s="158">
        <f>SUM(E86:E97)</f>
        <v>9500</v>
      </c>
      <c r="F98" s="158">
        <f>SUM(F86:F97)</f>
        <v>90929.51999999999</v>
      </c>
      <c r="G98" s="158"/>
      <c r="H98" s="158">
        <f>SUM(H86:H97)</f>
        <v>36184.5</v>
      </c>
      <c r="I98" s="158">
        <f>SUM(I86:I97)</f>
        <v>10370</v>
      </c>
      <c r="J98" s="158">
        <f>SUM(J86:J97)</f>
        <v>1569014.92</v>
      </c>
      <c r="K98" s="225"/>
    </row>
    <row r="99" spans="1:16" s="62" customFormat="1" x14ac:dyDescent="0.3">
      <c r="A99" s="57"/>
      <c r="B99"/>
      <c r="C99" s="154"/>
      <c r="D99" s="154"/>
      <c r="E99" s="154"/>
      <c r="F99" s="154"/>
      <c r="G99" s="154"/>
      <c r="H99" s="154"/>
      <c r="I99" s="154"/>
      <c r="J99" s="154"/>
      <c r="K99" s="225"/>
    </row>
    <row r="100" spans="1:16" s="62" customFormat="1" ht="15" thickBot="1" x14ac:dyDescent="0.35">
      <c r="A100" s="57"/>
      <c r="B100" s="510" t="s">
        <v>55</v>
      </c>
      <c r="C100" s="511" t="str">
        <f t="shared" ref="C100:J100" si="20">C1</f>
        <v>Operating</v>
      </c>
      <c r="D100" s="511" t="str">
        <f t="shared" si="20"/>
        <v>Weights</v>
      </c>
      <c r="E100" s="511" t="str">
        <f t="shared" si="20"/>
        <v>SPED</v>
      </c>
      <c r="F100" s="511" t="str">
        <f t="shared" si="20"/>
        <v>NSLP</v>
      </c>
      <c r="G100" s="511" t="str">
        <f t="shared" si="20"/>
        <v>CSP</v>
      </c>
      <c r="H100" s="511" t="str">
        <f t="shared" si="20"/>
        <v>Title I</v>
      </c>
      <c r="I100" s="511" t="str">
        <f t="shared" si="20"/>
        <v>Title II</v>
      </c>
      <c r="J100" s="511" t="str">
        <f t="shared" si="20"/>
        <v>Total</v>
      </c>
      <c r="K100" s="225"/>
    </row>
    <row r="101" spans="1:16" x14ac:dyDescent="0.3">
      <c r="A101" s="70"/>
      <c r="B101" s="512" t="s">
        <v>442</v>
      </c>
      <c r="C101" s="513"/>
      <c r="D101" s="513"/>
      <c r="E101" s="513"/>
      <c r="F101" s="513"/>
      <c r="G101" s="513"/>
      <c r="H101" s="513"/>
      <c r="I101" s="513"/>
      <c r="J101" s="513"/>
      <c r="K101" s="230"/>
    </row>
    <row r="102" spans="1:16" x14ac:dyDescent="0.3">
      <c r="A102" s="67">
        <v>104</v>
      </c>
      <c r="B102" s="410" t="s">
        <v>30</v>
      </c>
      <c r="C102" s="145">
        <v>100000</v>
      </c>
      <c r="D102" s="143"/>
      <c r="E102" s="143"/>
      <c r="F102" s="143"/>
      <c r="G102" s="143"/>
      <c r="H102" s="143"/>
      <c r="I102" s="143"/>
      <c r="J102" s="143">
        <f t="shared" ref="J102:J114" si="21">SUM(C102:I102)</f>
        <v>100000</v>
      </c>
      <c r="K102" s="225"/>
    </row>
    <row r="103" spans="1:16" x14ac:dyDescent="0.3">
      <c r="A103" s="67">
        <v>104</v>
      </c>
      <c r="B103" s="410" t="s">
        <v>57</v>
      </c>
      <c r="C103" s="145">
        <v>0</v>
      </c>
      <c r="D103" s="143"/>
      <c r="E103" s="143"/>
      <c r="F103" s="143"/>
      <c r="G103" s="143"/>
      <c r="H103" s="143"/>
      <c r="I103" s="143"/>
      <c r="J103" s="143">
        <f t="shared" si="21"/>
        <v>0</v>
      </c>
      <c r="K103" s="225"/>
    </row>
    <row r="104" spans="1:16" x14ac:dyDescent="0.3">
      <c r="A104" s="67">
        <v>105</v>
      </c>
      <c r="B104" s="410" t="s">
        <v>415</v>
      </c>
      <c r="C104" s="143">
        <v>0</v>
      </c>
      <c r="D104" s="143">
        <v>0</v>
      </c>
      <c r="E104" s="143"/>
      <c r="F104" s="143"/>
      <c r="G104" s="143"/>
      <c r="H104" s="143"/>
      <c r="I104" s="143"/>
      <c r="J104" s="143">
        <f t="shared" si="21"/>
        <v>0</v>
      </c>
      <c r="K104" s="225"/>
    </row>
    <row r="105" spans="1:16" x14ac:dyDescent="0.3">
      <c r="A105" s="67">
        <v>105</v>
      </c>
      <c r="B105" s="514" t="s">
        <v>417</v>
      </c>
      <c r="C105" s="143">
        <v>0</v>
      </c>
      <c r="D105" s="143"/>
      <c r="E105" s="143"/>
      <c r="F105" s="143"/>
      <c r="G105" s="143">
        <v>50000</v>
      </c>
      <c r="H105" s="143"/>
      <c r="I105" s="143"/>
      <c r="J105" s="143">
        <f t="shared" si="21"/>
        <v>50000</v>
      </c>
      <c r="K105" s="225"/>
    </row>
    <row r="106" spans="1:16" x14ac:dyDescent="0.3">
      <c r="A106" s="469">
        <v>105</v>
      </c>
      <c r="B106" s="515" t="s">
        <v>413</v>
      </c>
      <c r="C106" s="143">
        <v>0</v>
      </c>
      <c r="D106" s="143"/>
      <c r="E106" s="143"/>
      <c r="F106" s="143"/>
      <c r="G106" s="143">
        <v>65000</v>
      </c>
      <c r="H106" s="143"/>
      <c r="I106" s="143"/>
      <c r="J106" s="143">
        <f t="shared" si="21"/>
        <v>65000</v>
      </c>
      <c r="K106" s="225"/>
    </row>
    <row r="107" spans="1:16" x14ac:dyDescent="0.3">
      <c r="A107" s="67">
        <v>105</v>
      </c>
      <c r="B107" s="410" t="s">
        <v>425</v>
      </c>
      <c r="C107" s="143">
        <v>0</v>
      </c>
      <c r="D107" s="143"/>
      <c r="E107" s="143"/>
      <c r="F107" s="143"/>
      <c r="G107" s="143"/>
      <c r="H107" s="143"/>
      <c r="I107" s="143"/>
      <c r="J107" s="143">
        <f t="shared" si="21"/>
        <v>0</v>
      </c>
      <c r="K107" s="225"/>
      <c r="O107" s="250"/>
      <c r="P107" s="250"/>
    </row>
    <row r="108" spans="1:16" x14ac:dyDescent="0.3">
      <c r="A108" s="67" t="s">
        <v>58</v>
      </c>
      <c r="B108" s="410" t="s">
        <v>59</v>
      </c>
      <c r="C108" s="143">
        <f>50000*(C37-C30)</f>
        <v>200000</v>
      </c>
      <c r="D108" s="143"/>
      <c r="E108" s="143"/>
      <c r="F108" s="143"/>
      <c r="G108" s="143"/>
      <c r="H108" s="143"/>
      <c r="I108" s="143"/>
      <c r="J108" s="143">
        <f t="shared" si="21"/>
        <v>200000</v>
      </c>
      <c r="K108" s="226"/>
      <c r="L108" s="221"/>
      <c r="M108" s="221"/>
      <c r="N108" s="221"/>
      <c r="O108" s="221"/>
      <c r="P108" s="221"/>
    </row>
    <row r="109" spans="1:16" x14ac:dyDescent="0.3">
      <c r="A109" s="67">
        <v>101</v>
      </c>
      <c r="B109" s="410" t="s">
        <v>20</v>
      </c>
      <c r="C109" s="143">
        <f>42500*C30</f>
        <v>0</v>
      </c>
      <c r="D109" s="143">
        <f>42500*D30</f>
        <v>0</v>
      </c>
      <c r="E109" s="143">
        <f>50000*E30</f>
        <v>50000</v>
      </c>
      <c r="F109" s="143">
        <f>42500*F30</f>
        <v>0</v>
      </c>
      <c r="G109" s="143"/>
      <c r="H109" s="143">
        <f>42500*H30</f>
        <v>0</v>
      </c>
      <c r="I109" s="143"/>
      <c r="J109" s="143">
        <f t="shared" si="21"/>
        <v>50000</v>
      </c>
      <c r="K109" s="226"/>
      <c r="L109" s="364"/>
      <c r="M109" s="364"/>
      <c r="N109" s="364"/>
      <c r="O109" s="364"/>
      <c r="P109" s="364"/>
    </row>
    <row r="110" spans="1:16" x14ac:dyDescent="0.3">
      <c r="A110" s="67">
        <v>107</v>
      </c>
      <c r="B110" s="410" t="s">
        <v>60</v>
      </c>
      <c r="C110" s="143">
        <v>43000</v>
      </c>
      <c r="D110" s="143"/>
      <c r="E110" s="143"/>
      <c r="F110" s="143"/>
      <c r="G110" s="143"/>
      <c r="H110" s="143"/>
      <c r="I110" s="143"/>
      <c r="J110" s="143">
        <f t="shared" si="21"/>
        <v>43000</v>
      </c>
      <c r="K110" s="168"/>
    </row>
    <row r="111" spans="1:16" x14ac:dyDescent="0.3">
      <c r="A111" s="67">
        <v>107</v>
      </c>
      <c r="B111" s="410" t="s">
        <v>61</v>
      </c>
      <c r="C111" s="143">
        <f>(13*8*190)*(C48+C49)</f>
        <v>0</v>
      </c>
      <c r="D111" s="143"/>
      <c r="E111" s="143"/>
      <c r="F111" s="143"/>
      <c r="G111" s="143"/>
      <c r="H111" s="143"/>
      <c r="I111" s="143"/>
      <c r="J111" s="143">
        <f t="shared" si="21"/>
        <v>0</v>
      </c>
      <c r="K111" s="226"/>
      <c r="M111" s="221"/>
      <c r="N111" s="221"/>
      <c r="O111" s="221"/>
      <c r="P111" s="221"/>
    </row>
    <row r="112" spans="1:16" x14ac:dyDescent="0.3">
      <c r="A112" s="67">
        <v>102</v>
      </c>
      <c r="B112" s="410" t="s">
        <v>426</v>
      </c>
      <c r="C112" s="143">
        <f>(14*8*180)*C50</f>
        <v>0</v>
      </c>
      <c r="D112" s="143">
        <f>(12.75*8*180)*D50</f>
        <v>0</v>
      </c>
      <c r="E112" s="143">
        <f>(14*8*180)*E50</f>
        <v>0</v>
      </c>
      <c r="F112" s="143">
        <f>(12.75*8*180)*F50</f>
        <v>0</v>
      </c>
      <c r="G112" s="143"/>
      <c r="H112" s="143">
        <f>(14*8*180)*H50</f>
        <v>40320</v>
      </c>
      <c r="I112" s="143"/>
      <c r="J112" s="143">
        <f t="shared" si="21"/>
        <v>40320</v>
      </c>
      <c r="K112" s="226"/>
    </row>
    <row r="113" spans="1:16" x14ac:dyDescent="0.3">
      <c r="A113" s="67">
        <v>107</v>
      </c>
      <c r="B113" s="410" t="s">
        <v>457</v>
      </c>
      <c r="C113" s="143">
        <f>(15*8*210)*C51</f>
        <v>0</v>
      </c>
      <c r="D113" s="143"/>
      <c r="E113" s="143"/>
      <c r="F113" s="143"/>
      <c r="G113" s="143"/>
      <c r="H113" s="143"/>
      <c r="I113" s="143"/>
      <c r="J113" s="143">
        <f t="shared" si="21"/>
        <v>0</v>
      </c>
      <c r="K113" s="226"/>
    </row>
    <row r="114" spans="1:16" x14ac:dyDescent="0.3">
      <c r="A114" s="67">
        <v>107</v>
      </c>
      <c r="B114" s="410" t="s">
        <v>64</v>
      </c>
      <c r="C114" s="143"/>
      <c r="D114" s="143"/>
      <c r="E114" s="143"/>
      <c r="F114" s="143"/>
      <c r="G114" s="143"/>
      <c r="H114" s="143"/>
      <c r="I114" s="143"/>
      <c r="J114" s="143">
        <f t="shared" si="21"/>
        <v>0</v>
      </c>
      <c r="K114" s="226"/>
    </row>
    <row r="115" spans="1:16" ht="15" thickBot="1" x14ac:dyDescent="0.35">
      <c r="A115" s="63"/>
      <c r="B115" s="516" t="s">
        <v>443</v>
      </c>
      <c r="C115" s="517">
        <f t="shared" ref="C115:J115" si="22">SUM(C102:C114)</f>
        <v>343000</v>
      </c>
      <c r="D115" s="517">
        <f t="shared" si="22"/>
        <v>0</v>
      </c>
      <c r="E115" s="517">
        <f t="shared" si="22"/>
        <v>50000</v>
      </c>
      <c r="F115" s="517">
        <f t="shared" si="22"/>
        <v>0</v>
      </c>
      <c r="G115" s="517">
        <f t="shared" si="22"/>
        <v>115000</v>
      </c>
      <c r="H115" s="517">
        <f t="shared" si="22"/>
        <v>40320</v>
      </c>
      <c r="I115" s="518">
        <f t="shared" si="22"/>
        <v>0</v>
      </c>
      <c r="J115" s="519">
        <f t="shared" si="22"/>
        <v>548320</v>
      </c>
      <c r="K115" s="236"/>
    </row>
    <row r="116" spans="1:16" x14ac:dyDescent="0.3">
      <c r="A116" s="70"/>
      <c r="B116" s="135" t="s">
        <v>66</v>
      </c>
      <c r="C116" s="150"/>
      <c r="D116" s="150"/>
      <c r="E116" s="150"/>
      <c r="F116" s="150"/>
      <c r="G116" s="150"/>
      <c r="H116" s="150"/>
      <c r="I116" s="150"/>
      <c r="J116" s="150"/>
      <c r="K116" s="230"/>
    </row>
    <row r="117" spans="1:16" hidden="1" x14ac:dyDescent="0.3">
      <c r="A117" s="67"/>
      <c r="B117" s="410" t="s">
        <v>67</v>
      </c>
      <c r="C117" s="143">
        <v>0</v>
      </c>
      <c r="D117" s="143"/>
      <c r="E117" s="143"/>
      <c r="F117" s="143"/>
      <c r="G117" s="143"/>
      <c r="H117" s="143"/>
      <c r="I117" s="143"/>
      <c r="J117" s="489">
        <f t="shared" ref="J117:J123" si="23">SUM(C117:I117)</f>
        <v>0</v>
      </c>
      <c r="K117" s="225"/>
    </row>
    <row r="118" spans="1:16" x14ac:dyDescent="0.3">
      <c r="A118" s="67"/>
      <c r="B118" s="410" t="s">
        <v>37</v>
      </c>
      <c r="C118" s="143">
        <v>0</v>
      </c>
      <c r="D118" s="143"/>
      <c r="E118" s="143"/>
      <c r="F118" s="143"/>
      <c r="G118" s="143"/>
      <c r="H118" s="143"/>
      <c r="I118" s="143"/>
      <c r="J118" s="489">
        <f t="shared" si="23"/>
        <v>0</v>
      </c>
      <c r="K118" s="225"/>
    </row>
    <row r="119" spans="1:16" x14ac:dyDescent="0.3">
      <c r="A119" s="67"/>
      <c r="B119" s="410" t="s">
        <v>38</v>
      </c>
      <c r="C119" s="143">
        <v>0</v>
      </c>
      <c r="D119" s="143"/>
      <c r="E119" s="143"/>
      <c r="F119" s="143"/>
      <c r="G119" s="143"/>
      <c r="H119" s="143"/>
      <c r="I119" s="143"/>
      <c r="J119" s="489">
        <f t="shared" si="23"/>
        <v>0</v>
      </c>
      <c r="K119" s="225"/>
    </row>
    <row r="120" spans="1:16" x14ac:dyDescent="0.3">
      <c r="A120" s="67"/>
      <c r="B120" s="410" t="s">
        <v>39</v>
      </c>
      <c r="C120" s="143">
        <v>0</v>
      </c>
      <c r="D120" s="143"/>
      <c r="E120" s="143"/>
      <c r="F120" s="143"/>
      <c r="G120" s="143"/>
      <c r="H120" s="143"/>
      <c r="I120" s="143"/>
      <c r="J120" s="489">
        <f t="shared" si="23"/>
        <v>0</v>
      </c>
      <c r="K120" s="225"/>
    </row>
    <row r="121" spans="1:16" x14ac:dyDescent="0.3">
      <c r="A121" s="67"/>
      <c r="B121" s="410" t="s">
        <v>68</v>
      </c>
      <c r="C121" s="143">
        <v>0</v>
      </c>
      <c r="D121" s="143"/>
      <c r="E121" s="143"/>
      <c r="F121" s="143"/>
      <c r="G121" s="143"/>
      <c r="H121" s="143"/>
      <c r="I121" s="143"/>
      <c r="J121" s="489">
        <f t="shared" si="23"/>
        <v>0</v>
      </c>
      <c r="K121" s="225"/>
    </row>
    <row r="122" spans="1:16" x14ac:dyDescent="0.3">
      <c r="A122" s="67"/>
      <c r="B122" s="410" t="s">
        <v>40</v>
      </c>
      <c r="C122" s="143">
        <v>0</v>
      </c>
      <c r="D122" s="143"/>
      <c r="E122" s="143"/>
      <c r="F122" s="143"/>
      <c r="G122" s="143"/>
      <c r="H122" s="143"/>
      <c r="I122" s="143"/>
      <c r="J122" s="489">
        <f t="shared" si="23"/>
        <v>0</v>
      </c>
      <c r="K122" s="225"/>
    </row>
    <row r="123" spans="1:16" x14ac:dyDescent="0.3">
      <c r="A123" s="67"/>
      <c r="B123" s="410" t="s">
        <v>50</v>
      </c>
      <c r="C123" s="143">
        <v>0</v>
      </c>
      <c r="D123" s="143"/>
      <c r="E123" s="143"/>
      <c r="F123" s="143"/>
      <c r="G123" s="143"/>
      <c r="H123" s="143"/>
      <c r="I123" s="143"/>
      <c r="J123" s="489">
        <f t="shared" si="23"/>
        <v>0</v>
      </c>
      <c r="K123" s="225"/>
    </row>
    <row r="124" spans="1:16" x14ac:dyDescent="0.3">
      <c r="A124" s="67"/>
      <c r="B124" s="410" t="s">
        <v>173</v>
      </c>
      <c r="C124" s="143">
        <v>0</v>
      </c>
      <c r="D124" s="143"/>
      <c r="E124" s="143"/>
      <c r="F124" s="143"/>
      <c r="G124" s="143"/>
      <c r="H124" s="143"/>
      <c r="I124" s="143"/>
      <c r="J124" s="489"/>
      <c r="K124" s="225"/>
    </row>
    <row r="125" spans="1:16" x14ac:dyDescent="0.3">
      <c r="A125" s="67">
        <v>107</v>
      </c>
      <c r="B125" s="410" t="s">
        <v>69</v>
      </c>
      <c r="C125" s="143">
        <f>(12.5*6*185)*C52</f>
        <v>0</v>
      </c>
      <c r="D125" s="143">
        <f>(12.5*6*185)*D52</f>
        <v>0</v>
      </c>
      <c r="E125" s="143">
        <f>(12.5*6*185)*E52</f>
        <v>0</v>
      </c>
      <c r="F125" s="143">
        <f>(14*8*185)*F52</f>
        <v>20720</v>
      </c>
      <c r="G125" s="143"/>
      <c r="H125" s="143"/>
      <c r="I125" s="143"/>
      <c r="J125" s="143">
        <f>SUM(C125:I125)</f>
        <v>20720</v>
      </c>
      <c r="K125" s="225"/>
    </row>
    <row r="126" spans="1:16" x14ac:dyDescent="0.3">
      <c r="A126" s="74"/>
      <c r="B126" s="410" t="s">
        <v>70</v>
      </c>
      <c r="C126" s="153">
        <v>0</v>
      </c>
      <c r="D126" s="143"/>
      <c r="E126" s="143"/>
      <c r="F126" s="143"/>
      <c r="G126" s="143"/>
      <c r="H126" s="143"/>
      <c r="I126" s="143"/>
      <c r="J126" s="489">
        <f>SUM(C126:I126)</f>
        <v>0</v>
      </c>
      <c r="K126" s="225"/>
    </row>
    <row r="127" spans="1:16" ht="15" thickBot="1" x14ac:dyDescent="0.35">
      <c r="A127" s="63"/>
      <c r="B127" s="520" t="s">
        <v>444</v>
      </c>
      <c r="C127" s="519">
        <f t="shared" ref="C127:J127" si="24">SUM(C117:C126)</f>
        <v>0</v>
      </c>
      <c r="D127" s="519">
        <f t="shared" si="24"/>
        <v>0</v>
      </c>
      <c r="E127" s="519">
        <f t="shared" si="24"/>
        <v>0</v>
      </c>
      <c r="F127" s="519">
        <f t="shared" si="24"/>
        <v>20720</v>
      </c>
      <c r="G127" s="519">
        <f t="shared" si="24"/>
        <v>0</v>
      </c>
      <c r="H127" s="519">
        <f t="shared" si="24"/>
        <v>0</v>
      </c>
      <c r="I127" s="519">
        <f t="shared" si="24"/>
        <v>0</v>
      </c>
      <c r="J127" s="519">
        <f t="shared" si="24"/>
        <v>20720</v>
      </c>
      <c r="K127" s="236"/>
    </row>
    <row r="128" spans="1:16" ht="15" thickBot="1" x14ac:dyDescent="0.35">
      <c r="A128" s="91"/>
      <c r="B128" s="521" t="s">
        <v>445</v>
      </c>
      <c r="C128" s="483">
        <f t="shared" ref="C128:J128" si="25">C115+C127</f>
        <v>343000</v>
      </c>
      <c r="D128" s="483">
        <f t="shared" si="25"/>
        <v>0</v>
      </c>
      <c r="E128" s="483">
        <f t="shared" si="25"/>
        <v>50000</v>
      </c>
      <c r="F128" s="483">
        <f t="shared" si="25"/>
        <v>20720</v>
      </c>
      <c r="G128" s="483">
        <f t="shared" si="25"/>
        <v>115000</v>
      </c>
      <c r="H128" s="483">
        <f t="shared" si="25"/>
        <v>40320</v>
      </c>
      <c r="I128" s="483">
        <f t="shared" si="25"/>
        <v>0</v>
      </c>
      <c r="J128" s="483">
        <f t="shared" si="25"/>
        <v>569040</v>
      </c>
      <c r="K128" s="225"/>
      <c r="L128" s="223">
        <f t="shared" ref="L128:P128" si="26">SUM(L129:L130)</f>
        <v>0.47249999999999998</v>
      </c>
      <c r="M128" s="223">
        <f t="shared" si="26"/>
        <v>0.47749999999999998</v>
      </c>
      <c r="N128" s="223">
        <f t="shared" si="26"/>
        <v>0.48249999999999998</v>
      </c>
      <c r="O128" s="223">
        <f t="shared" si="26"/>
        <v>0.48749999999999999</v>
      </c>
      <c r="P128" s="223">
        <f t="shared" si="26"/>
        <v>0.49249999999999999</v>
      </c>
    </row>
    <row r="129" spans="1:16" x14ac:dyDescent="0.3">
      <c r="A129" s="78">
        <v>230</v>
      </c>
      <c r="B129" s="410" t="s">
        <v>340</v>
      </c>
      <c r="C129" s="157">
        <f t="shared" ref="C129:H129" si="27">C128*0.2975</f>
        <v>102042.5</v>
      </c>
      <c r="D129" s="157">
        <f t="shared" si="27"/>
        <v>0</v>
      </c>
      <c r="E129" s="157">
        <f t="shared" si="27"/>
        <v>14875</v>
      </c>
      <c r="F129" s="157">
        <f t="shared" si="27"/>
        <v>6164.2</v>
      </c>
      <c r="G129" s="157">
        <f t="shared" si="27"/>
        <v>34212.5</v>
      </c>
      <c r="H129" s="157">
        <f t="shared" si="27"/>
        <v>11995.199999999999</v>
      </c>
      <c r="I129" s="157"/>
      <c r="J129" s="143">
        <f t="shared" ref="J129:J134" si="28">SUM(C129:I129)</f>
        <v>169289.40000000002</v>
      </c>
      <c r="K129" s="225"/>
      <c r="L129" s="223">
        <v>0.29249999999999998</v>
      </c>
      <c r="M129" s="223">
        <f>L129</f>
        <v>0.29249999999999998</v>
      </c>
      <c r="N129" s="223">
        <f>M129</f>
        <v>0.29249999999999998</v>
      </c>
      <c r="O129" s="223">
        <f>N129</f>
        <v>0.29249999999999998</v>
      </c>
      <c r="P129" s="223">
        <f>O129</f>
        <v>0.29249999999999998</v>
      </c>
    </row>
    <row r="130" spans="1:16" x14ac:dyDescent="0.3">
      <c r="A130" s="94"/>
      <c r="B130" s="410" t="s">
        <v>73</v>
      </c>
      <c r="C130" s="143">
        <f>C128*0.1825</f>
        <v>62597.5</v>
      </c>
      <c r="D130" s="143">
        <f>D128*0.1825</f>
        <v>0</v>
      </c>
      <c r="E130" s="143">
        <f>E128*0.1725</f>
        <v>8625</v>
      </c>
      <c r="F130" s="143">
        <f>F128*0.1725</f>
        <v>3574.2</v>
      </c>
      <c r="G130" s="143">
        <f>48400-G129</f>
        <v>14187.5</v>
      </c>
      <c r="H130" s="143">
        <f>H128*0.1725</f>
        <v>6955.2</v>
      </c>
      <c r="I130" s="143"/>
      <c r="J130" s="143">
        <f t="shared" si="28"/>
        <v>95939.4</v>
      </c>
      <c r="K130" s="225"/>
      <c r="L130" s="223">
        <v>0.18</v>
      </c>
      <c r="M130" s="223">
        <f>L130+0.5%</f>
        <v>0.185</v>
      </c>
      <c r="N130" s="223">
        <f>M130+0.5%</f>
        <v>0.19</v>
      </c>
      <c r="O130" s="223">
        <f>N130+0.5%</f>
        <v>0.19500000000000001</v>
      </c>
      <c r="P130" s="223">
        <f>O130+0.5%</f>
        <v>0.2</v>
      </c>
    </row>
    <row r="131" spans="1:16" x14ac:dyDescent="0.3">
      <c r="A131" s="67">
        <v>150</v>
      </c>
      <c r="B131" s="410" t="s">
        <v>74</v>
      </c>
      <c r="C131" s="145">
        <f>125*C65+125*6</f>
        <v>1500</v>
      </c>
      <c r="D131" s="145">
        <f>125*D65</f>
        <v>0</v>
      </c>
      <c r="E131" s="145">
        <f>125*E65</f>
        <v>125</v>
      </c>
      <c r="F131" s="145">
        <f>125*F65</f>
        <v>125</v>
      </c>
      <c r="G131" s="145"/>
      <c r="H131" s="145">
        <f>125*H65</f>
        <v>250</v>
      </c>
      <c r="I131" s="145">
        <f>125*I65</f>
        <v>0</v>
      </c>
      <c r="J131" s="143">
        <f t="shared" si="28"/>
        <v>2000</v>
      </c>
      <c r="K131" s="225"/>
    </row>
    <row r="132" spans="1:16" x14ac:dyDescent="0.3">
      <c r="A132" s="67"/>
      <c r="B132" s="410" t="s">
        <v>75</v>
      </c>
      <c r="C132" s="143">
        <v>0</v>
      </c>
      <c r="D132" s="145"/>
      <c r="E132" s="145"/>
      <c r="F132" s="145"/>
      <c r="G132" s="145"/>
      <c r="H132" s="145"/>
      <c r="I132" s="145"/>
      <c r="J132" s="143">
        <f t="shared" si="28"/>
        <v>0</v>
      </c>
      <c r="K132" s="225"/>
    </row>
    <row r="133" spans="1:16" x14ac:dyDescent="0.3">
      <c r="A133" s="67">
        <v>250</v>
      </c>
      <c r="B133" s="410" t="s">
        <v>76</v>
      </c>
      <c r="C133" s="145">
        <v>1200</v>
      </c>
      <c r="D133" s="145"/>
      <c r="E133" s="145"/>
      <c r="F133" s="145"/>
      <c r="G133" s="145"/>
      <c r="H133" s="145"/>
      <c r="I133" s="145"/>
      <c r="J133" s="143">
        <f t="shared" si="28"/>
        <v>1200</v>
      </c>
      <c r="K133" s="225"/>
    </row>
    <row r="134" spans="1:16" ht="15" thickBot="1" x14ac:dyDescent="0.35">
      <c r="A134" s="74"/>
      <c r="B134" s="410" t="s">
        <v>77</v>
      </c>
      <c r="C134" s="153">
        <f>(175*10*C37)-C126</f>
        <v>7000</v>
      </c>
      <c r="D134" s="153">
        <f t="shared" ref="D134:H134" si="29">(175*10*D37)-D126</f>
        <v>0</v>
      </c>
      <c r="E134" s="153">
        <f t="shared" si="29"/>
        <v>1750</v>
      </c>
      <c r="F134" s="153">
        <f t="shared" si="29"/>
        <v>0</v>
      </c>
      <c r="G134" s="153">
        <f t="shared" si="29"/>
        <v>0</v>
      </c>
      <c r="H134" s="153">
        <f t="shared" si="29"/>
        <v>0</v>
      </c>
      <c r="I134" s="153"/>
      <c r="J134" s="143">
        <f t="shared" si="28"/>
        <v>8750</v>
      </c>
      <c r="K134" s="225"/>
    </row>
    <row r="135" spans="1:16" ht="15" thickBot="1" x14ac:dyDescent="0.35">
      <c r="A135" s="95"/>
      <c r="B135" s="522" t="s">
        <v>446</v>
      </c>
      <c r="C135" s="523">
        <f t="shared" ref="C135:J135" si="30">SUM(C129:C134)</f>
        <v>174340</v>
      </c>
      <c r="D135" s="523">
        <f t="shared" si="30"/>
        <v>0</v>
      </c>
      <c r="E135" s="523">
        <f t="shared" si="30"/>
        <v>25375</v>
      </c>
      <c r="F135" s="523">
        <f t="shared" si="30"/>
        <v>9863.4</v>
      </c>
      <c r="G135" s="523">
        <f t="shared" si="30"/>
        <v>48400</v>
      </c>
      <c r="H135" s="523">
        <f t="shared" si="30"/>
        <v>19200.399999999998</v>
      </c>
      <c r="I135" s="523">
        <f t="shared" si="30"/>
        <v>0</v>
      </c>
      <c r="J135" s="523">
        <f t="shared" si="30"/>
        <v>277178.80000000005</v>
      </c>
      <c r="K135" s="225"/>
    </row>
    <row r="136" spans="1:16" ht="15" thickBot="1" x14ac:dyDescent="0.35">
      <c r="A136" s="482"/>
      <c r="B136" s="524" t="s">
        <v>78</v>
      </c>
      <c r="C136" s="483">
        <f t="shared" ref="C136:J136" si="31">C128+C135</f>
        <v>517340</v>
      </c>
      <c r="D136" s="483">
        <f t="shared" si="31"/>
        <v>0</v>
      </c>
      <c r="E136" s="483">
        <f t="shared" si="31"/>
        <v>75375</v>
      </c>
      <c r="F136" s="483">
        <f t="shared" si="31"/>
        <v>30583.4</v>
      </c>
      <c r="G136" s="483">
        <f t="shared" si="31"/>
        <v>163400</v>
      </c>
      <c r="H136" s="483">
        <f t="shared" si="31"/>
        <v>59520.399999999994</v>
      </c>
      <c r="I136" s="483">
        <f t="shared" si="31"/>
        <v>0</v>
      </c>
      <c r="J136" s="483">
        <f t="shared" si="31"/>
        <v>846218.8</v>
      </c>
      <c r="K136" s="225"/>
    </row>
    <row r="137" spans="1:16" x14ac:dyDescent="0.3">
      <c r="A137" s="98"/>
      <c r="B137" s="525" t="s">
        <v>79</v>
      </c>
      <c r="C137" s="150" t="str">
        <f t="shared" ref="C137:J137" si="32">C1</f>
        <v>Operating</v>
      </c>
      <c r="D137" s="150" t="str">
        <f t="shared" si="32"/>
        <v>Weights</v>
      </c>
      <c r="E137" s="150" t="str">
        <f t="shared" si="32"/>
        <v>SPED</v>
      </c>
      <c r="F137" s="150" t="str">
        <f t="shared" si="32"/>
        <v>NSLP</v>
      </c>
      <c r="G137" s="150" t="str">
        <f t="shared" si="32"/>
        <v>CSP</v>
      </c>
      <c r="H137" s="150" t="str">
        <f t="shared" si="32"/>
        <v>Title I</v>
      </c>
      <c r="I137" s="150" t="str">
        <f t="shared" si="32"/>
        <v>Title II</v>
      </c>
      <c r="J137" s="150" t="str">
        <f t="shared" si="32"/>
        <v>Total</v>
      </c>
      <c r="K137" s="230"/>
    </row>
    <row r="138" spans="1:16" x14ac:dyDescent="0.3">
      <c r="A138" s="94"/>
      <c r="B138" s="526" t="s">
        <v>80</v>
      </c>
      <c r="C138" s="143">
        <f>140*C19*0.25</f>
        <v>3850</v>
      </c>
      <c r="D138" s="145"/>
      <c r="E138" s="145"/>
      <c r="F138" s="145"/>
      <c r="G138" s="145"/>
      <c r="H138" s="145"/>
      <c r="I138" s="145"/>
      <c r="J138" s="143">
        <f t="shared" ref="J138:J147" si="33">SUM(C138:I138)</f>
        <v>3850</v>
      </c>
      <c r="K138" s="225"/>
    </row>
    <row r="139" spans="1:16" hidden="1" x14ac:dyDescent="0.3">
      <c r="A139" s="94"/>
      <c r="B139" s="527" t="s">
        <v>435</v>
      </c>
      <c r="C139" s="143">
        <v>0</v>
      </c>
      <c r="D139" s="145"/>
      <c r="E139" s="145"/>
      <c r="F139" s="145"/>
      <c r="G139" s="145"/>
      <c r="H139" s="145"/>
      <c r="I139" s="145"/>
      <c r="J139" s="143">
        <f t="shared" si="33"/>
        <v>0</v>
      </c>
      <c r="K139" s="225"/>
    </row>
    <row r="140" spans="1:16" x14ac:dyDescent="0.3">
      <c r="A140" s="94"/>
      <c r="B140" s="410" t="s">
        <v>461</v>
      </c>
      <c r="C140" s="145">
        <v>0</v>
      </c>
      <c r="D140" s="145"/>
      <c r="E140" s="145"/>
      <c r="F140" s="145"/>
      <c r="G140" s="145"/>
      <c r="H140" s="145"/>
      <c r="I140" s="145"/>
      <c r="J140" s="143">
        <f t="shared" si="33"/>
        <v>0</v>
      </c>
      <c r="K140" s="225" t="s">
        <v>396</v>
      </c>
    </row>
    <row r="141" spans="1:16" x14ac:dyDescent="0.3">
      <c r="A141" s="94"/>
      <c r="B141" s="409" t="s">
        <v>437</v>
      </c>
      <c r="C141" s="145">
        <v>0</v>
      </c>
      <c r="D141" s="145"/>
      <c r="E141" s="145"/>
      <c r="F141" s="145"/>
      <c r="G141" s="544">
        <f>77874.61+105542+27680+16375</f>
        <v>227471.61</v>
      </c>
      <c r="H141" s="145"/>
      <c r="I141" s="145"/>
      <c r="J141" s="143">
        <f t="shared" si="33"/>
        <v>227471.61</v>
      </c>
      <c r="K141" s="225"/>
    </row>
    <row r="142" spans="1:16" x14ac:dyDescent="0.3">
      <c r="A142" s="67">
        <v>610</v>
      </c>
      <c r="B142" s="410" t="s">
        <v>83</v>
      </c>
      <c r="C142" s="143">
        <f>14*C19</f>
        <v>1540</v>
      </c>
      <c r="D142" s="145"/>
      <c r="E142" s="145"/>
      <c r="F142" s="145">
        <v>2000</v>
      </c>
      <c r="G142" s="145">
        <v>5000</v>
      </c>
      <c r="H142" s="145"/>
      <c r="I142" s="145"/>
      <c r="J142" s="143">
        <f t="shared" si="33"/>
        <v>8540</v>
      </c>
      <c r="K142" s="225"/>
    </row>
    <row r="143" spans="1:16" x14ac:dyDescent="0.3">
      <c r="A143" s="67">
        <v>610</v>
      </c>
      <c r="B143" s="410" t="s">
        <v>84</v>
      </c>
      <c r="C143" s="143">
        <f>29*C19</f>
        <v>3190</v>
      </c>
      <c r="D143" s="145"/>
      <c r="E143" s="145"/>
      <c r="F143" s="145"/>
      <c r="G143" s="145"/>
      <c r="H143" s="145"/>
      <c r="I143" s="145"/>
      <c r="J143" s="143">
        <f t="shared" si="33"/>
        <v>3190</v>
      </c>
      <c r="K143" s="225"/>
    </row>
    <row r="144" spans="1:16" x14ac:dyDescent="0.3">
      <c r="A144" s="67">
        <v>610</v>
      </c>
      <c r="B144" s="410" t="s">
        <v>85</v>
      </c>
      <c r="C144" s="143">
        <f>4.25*C19</f>
        <v>467.5</v>
      </c>
      <c r="D144" s="145"/>
      <c r="E144" s="145"/>
      <c r="F144" s="145"/>
      <c r="G144" s="145"/>
      <c r="H144" s="145"/>
      <c r="I144" s="145"/>
      <c r="J144" s="143">
        <f t="shared" si="33"/>
        <v>467.5</v>
      </c>
      <c r="K144" s="225"/>
    </row>
    <row r="145" spans="1:18" x14ac:dyDescent="0.3">
      <c r="A145" s="67">
        <v>610</v>
      </c>
      <c r="B145" s="410" t="s">
        <v>86</v>
      </c>
      <c r="C145" s="143">
        <f>3.25*C19</f>
        <v>357.5</v>
      </c>
      <c r="D145" s="145"/>
      <c r="E145" s="145"/>
      <c r="F145" s="145"/>
      <c r="G145" s="145"/>
      <c r="H145" s="145"/>
      <c r="I145" s="145"/>
      <c r="J145" s="143">
        <f t="shared" si="33"/>
        <v>357.5</v>
      </c>
      <c r="K145" s="225"/>
    </row>
    <row r="146" spans="1:18" x14ac:dyDescent="0.3">
      <c r="A146" s="67">
        <v>610</v>
      </c>
      <c r="B146" s="410" t="s">
        <v>87</v>
      </c>
      <c r="C146" s="143">
        <f>120*C22</f>
        <v>0</v>
      </c>
      <c r="D146" s="145"/>
      <c r="E146" s="145">
        <f>129*E22</f>
        <v>1702.8</v>
      </c>
      <c r="F146" s="145"/>
      <c r="G146" s="145"/>
      <c r="H146" s="145"/>
      <c r="I146" s="145"/>
      <c r="J146" s="143">
        <f t="shared" si="33"/>
        <v>1702.8</v>
      </c>
      <c r="K146" s="225"/>
    </row>
    <row r="147" spans="1:18" ht="15" thickBot="1" x14ac:dyDescent="0.35">
      <c r="A147" s="102"/>
      <c r="B147" s="410" t="s">
        <v>88</v>
      </c>
      <c r="C147" s="153">
        <v>0</v>
      </c>
      <c r="D147" s="153"/>
      <c r="E147" s="153"/>
      <c r="F147" s="153"/>
      <c r="G147" s="153">
        <v>3889.49</v>
      </c>
      <c r="H147" s="153"/>
      <c r="I147" s="153"/>
      <c r="J147" s="143">
        <f t="shared" si="33"/>
        <v>3889.49</v>
      </c>
      <c r="K147" s="225"/>
    </row>
    <row r="148" spans="1:18" s="222" customFormat="1" ht="15" thickBot="1" x14ac:dyDescent="0.35">
      <c r="A148" s="103"/>
      <c r="B148" s="528" t="s">
        <v>89</v>
      </c>
      <c r="C148" s="483">
        <f t="shared" ref="C148:J148" si="34">SUM(C138:C147)</f>
        <v>9405</v>
      </c>
      <c r="D148" s="483">
        <f t="shared" si="34"/>
        <v>0</v>
      </c>
      <c r="E148" s="483">
        <f t="shared" si="34"/>
        <v>1702.8</v>
      </c>
      <c r="F148" s="483">
        <f t="shared" si="34"/>
        <v>2000</v>
      </c>
      <c r="G148" s="483">
        <f t="shared" si="34"/>
        <v>236361.09999999998</v>
      </c>
      <c r="H148" s="483">
        <f t="shared" si="34"/>
        <v>0</v>
      </c>
      <c r="I148" s="483">
        <f t="shared" si="34"/>
        <v>0</v>
      </c>
      <c r="J148" s="483">
        <f t="shared" si="34"/>
        <v>249468.89999999997</v>
      </c>
      <c r="K148" s="237"/>
    </row>
    <row r="149" spans="1:18" s="222" customFormat="1" ht="15" thickBot="1" x14ac:dyDescent="0.35">
      <c r="A149" s="107"/>
      <c r="B149" s="108" t="s">
        <v>90</v>
      </c>
      <c r="C149" s="162"/>
      <c r="D149" s="162"/>
      <c r="E149" s="162"/>
      <c r="F149" s="162"/>
      <c r="G149" s="162"/>
      <c r="H149" s="162"/>
      <c r="I149" s="162"/>
      <c r="J149" s="162"/>
      <c r="K149" s="237"/>
    </row>
    <row r="150" spans="1:18" s="222" customFormat="1" x14ac:dyDescent="0.3">
      <c r="A150" s="78">
        <v>320</v>
      </c>
      <c r="B150" s="410" t="s">
        <v>91</v>
      </c>
      <c r="C150" s="145">
        <v>0</v>
      </c>
      <c r="D150" s="145"/>
      <c r="E150" s="145"/>
      <c r="F150" s="145"/>
      <c r="G150" s="145"/>
      <c r="H150" s="145"/>
      <c r="I150" s="145"/>
      <c r="J150" s="143">
        <f t="shared" ref="J150:J162" si="35">SUM(C150:I150)</f>
        <v>0</v>
      </c>
      <c r="K150" s="237"/>
      <c r="L150" s="219"/>
    </row>
    <row r="151" spans="1:18" x14ac:dyDescent="0.3">
      <c r="A151" s="67">
        <v>300</v>
      </c>
      <c r="B151" s="410" t="s">
        <v>92</v>
      </c>
      <c r="C151" s="145">
        <v>0</v>
      </c>
      <c r="D151" s="143"/>
      <c r="E151" s="143">
        <f>200*C19</f>
        <v>22000</v>
      </c>
      <c r="F151" s="143"/>
      <c r="G151" s="143"/>
      <c r="H151" s="143"/>
      <c r="I151" s="143"/>
      <c r="J151" s="143">
        <f t="shared" si="35"/>
        <v>22000</v>
      </c>
      <c r="K151" s="225"/>
    </row>
    <row r="152" spans="1:18" x14ac:dyDescent="0.3">
      <c r="A152" s="67">
        <v>310</v>
      </c>
      <c r="B152" s="410" t="s">
        <v>347</v>
      </c>
      <c r="C152" s="145">
        <v>0</v>
      </c>
      <c r="D152" s="143"/>
      <c r="E152" s="143"/>
      <c r="F152" s="143"/>
      <c r="G152" s="143"/>
      <c r="H152" s="143"/>
      <c r="I152" s="143"/>
      <c r="J152" s="143">
        <f t="shared" si="35"/>
        <v>0</v>
      </c>
      <c r="K152" s="225"/>
      <c r="L152" s="259"/>
      <c r="M152" s="259"/>
      <c r="N152" s="259"/>
      <c r="O152" s="259"/>
      <c r="P152" s="259"/>
    </row>
    <row r="153" spans="1:18" x14ac:dyDescent="0.3">
      <c r="A153" s="67">
        <v>310</v>
      </c>
      <c r="B153" s="410" t="s">
        <v>224</v>
      </c>
      <c r="C153" s="145">
        <f>450*C19</f>
        <v>49500</v>
      </c>
      <c r="D153" s="143"/>
      <c r="E153" s="143"/>
      <c r="F153" s="143"/>
      <c r="G153" s="143"/>
      <c r="H153" s="143"/>
      <c r="I153" s="143"/>
      <c r="J153" s="143">
        <f t="shared" si="35"/>
        <v>49500</v>
      </c>
      <c r="K153" s="225"/>
      <c r="L153" s="259"/>
      <c r="M153" s="259"/>
      <c r="N153" s="259"/>
      <c r="O153" s="259"/>
      <c r="P153" s="259"/>
      <c r="R153" s="365"/>
    </row>
    <row r="154" spans="1:18" x14ac:dyDescent="0.3">
      <c r="A154" s="67">
        <v>310</v>
      </c>
      <c r="B154" s="410" t="s">
        <v>93</v>
      </c>
      <c r="C154" s="145">
        <f>(240*C65)+1500</f>
        <v>2940</v>
      </c>
      <c r="D154" s="143">
        <f>(240*D65)</f>
        <v>0</v>
      </c>
      <c r="E154" s="143">
        <f>(240*E65)</f>
        <v>240</v>
      </c>
      <c r="F154" s="143">
        <f>(240*F65)</f>
        <v>240</v>
      </c>
      <c r="G154" s="143"/>
      <c r="H154" s="143">
        <f>(240*H65)</f>
        <v>480</v>
      </c>
      <c r="I154" s="143"/>
      <c r="J154" s="143">
        <f t="shared" si="35"/>
        <v>3900</v>
      </c>
      <c r="K154" s="225"/>
      <c r="L154" s="167"/>
      <c r="M154" s="167"/>
      <c r="N154" s="167"/>
      <c r="O154" s="167"/>
      <c r="P154" s="167"/>
    </row>
    <row r="155" spans="1:18" x14ac:dyDescent="0.3">
      <c r="A155" s="67">
        <v>340</v>
      </c>
      <c r="B155" s="410" t="s">
        <v>94</v>
      </c>
      <c r="C155" s="145">
        <v>0</v>
      </c>
      <c r="D155" s="143"/>
      <c r="E155" s="143"/>
      <c r="F155" s="143"/>
      <c r="G155" s="143"/>
      <c r="H155" s="143"/>
      <c r="I155" s="143"/>
      <c r="J155" s="143">
        <f t="shared" si="35"/>
        <v>0</v>
      </c>
      <c r="K155" s="225"/>
    </row>
    <row r="156" spans="1:18" x14ac:dyDescent="0.3">
      <c r="A156" s="67">
        <v>340</v>
      </c>
      <c r="B156" s="410" t="s">
        <v>95</v>
      </c>
      <c r="C156" s="145">
        <v>1500</v>
      </c>
      <c r="D156" s="143"/>
      <c r="E156" s="143"/>
      <c r="F156" s="143"/>
      <c r="G156" s="143"/>
      <c r="H156" s="143"/>
      <c r="I156" s="143"/>
      <c r="J156" s="143">
        <f t="shared" si="35"/>
        <v>1500</v>
      </c>
      <c r="K156" s="225"/>
    </row>
    <row r="157" spans="1:18" x14ac:dyDescent="0.3">
      <c r="A157" s="67">
        <v>352</v>
      </c>
      <c r="B157" s="410" t="s">
        <v>96</v>
      </c>
      <c r="C157" s="145">
        <f>45*C19</f>
        <v>4950</v>
      </c>
      <c r="D157" s="143"/>
      <c r="E157" s="143"/>
      <c r="F157" s="143"/>
      <c r="G157" s="143"/>
      <c r="H157" s="143"/>
      <c r="I157" s="143"/>
      <c r="J157" s="143">
        <f t="shared" si="35"/>
        <v>4950</v>
      </c>
      <c r="K157" s="225"/>
    </row>
    <row r="158" spans="1:18" x14ac:dyDescent="0.3">
      <c r="A158" s="67">
        <v>350</v>
      </c>
      <c r="B158" s="410" t="s">
        <v>97</v>
      </c>
      <c r="C158" s="145">
        <v>10000</v>
      </c>
      <c r="D158" s="143"/>
      <c r="E158" s="143"/>
      <c r="F158" s="143"/>
      <c r="G158" s="143">
        <v>2700</v>
      </c>
      <c r="H158" s="143"/>
      <c r="I158" s="143"/>
      <c r="J158" s="143">
        <f t="shared" si="35"/>
        <v>12700</v>
      </c>
      <c r="K158" s="225"/>
    </row>
    <row r="159" spans="1:18" x14ac:dyDescent="0.3">
      <c r="A159" s="67">
        <v>591</v>
      </c>
      <c r="B159" s="410" t="s">
        <v>98</v>
      </c>
      <c r="C159" s="145">
        <f>C86*0.0125</f>
        <v>10028.122500000001</v>
      </c>
      <c r="D159" s="143"/>
      <c r="E159" s="143"/>
      <c r="F159" s="143"/>
      <c r="G159" s="143"/>
      <c r="H159" s="143"/>
      <c r="I159" s="143"/>
      <c r="J159" s="143">
        <f t="shared" si="35"/>
        <v>10028.122500000001</v>
      </c>
      <c r="K159" s="238"/>
    </row>
    <row r="160" spans="1:18" hidden="1" x14ac:dyDescent="0.3">
      <c r="A160" s="67">
        <v>320</v>
      </c>
      <c r="B160" s="410" t="s">
        <v>341</v>
      </c>
      <c r="C160" s="142"/>
      <c r="D160" s="143"/>
      <c r="E160" s="143"/>
      <c r="F160" s="143"/>
      <c r="G160" s="143"/>
      <c r="H160" s="143"/>
      <c r="I160" s="143"/>
      <c r="J160" s="143">
        <f t="shared" si="35"/>
        <v>0</v>
      </c>
      <c r="K160" s="238"/>
      <c r="L160" s="259"/>
      <c r="M160" s="259"/>
      <c r="N160" s="259"/>
      <c r="O160" s="259"/>
      <c r="P160" s="259"/>
    </row>
    <row r="161" spans="1:16" hidden="1" x14ac:dyDescent="0.3">
      <c r="A161" s="67">
        <v>330</v>
      </c>
      <c r="B161" s="410" t="s">
        <v>436</v>
      </c>
      <c r="C161" s="142"/>
      <c r="D161" s="143"/>
      <c r="E161" s="143"/>
      <c r="F161" s="143"/>
      <c r="G161" s="143"/>
      <c r="H161" s="143"/>
      <c r="I161" s="143"/>
      <c r="J161" s="143">
        <f t="shared" si="35"/>
        <v>0</v>
      </c>
      <c r="K161" s="238"/>
      <c r="L161" s="259"/>
      <c r="M161" s="259"/>
      <c r="N161" s="259"/>
      <c r="O161" s="259"/>
      <c r="P161" s="259"/>
    </row>
    <row r="162" spans="1:16" ht="15" thickBot="1" x14ac:dyDescent="0.35">
      <c r="A162" s="67">
        <v>330</v>
      </c>
      <c r="B162" s="410" t="s">
        <v>381</v>
      </c>
      <c r="C162" s="145">
        <f>C86*0.005</f>
        <v>4011.2490000000003</v>
      </c>
      <c r="D162" s="143"/>
      <c r="E162" s="143"/>
      <c r="F162" s="143"/>
      <c r="G162" s="143">
        <f>12200+1750</f>
        <v>13950</v>
      </c>
      <c r="H162" s="143"/>
      <c r="I162" s="143">
        <f>I91</f>
        <v>10370</v>
      </c>
      <c r="J162" s="143">
        <f t="shared" si="35"/>
        <v>28331.249</v>
      </c>
      <c r="K162" s="238"/>
    </row>
    <row r="163" spans="1:16" ht="15" thickBot="1" x14ac:dyDescent="0.35">
      <c r="A163" s="103"/>
      <c r="B163" s="528" t="s">
        <v>447</v>
      </c>
      <c r="C163" s="483">
        <f t="shared" ref="C163:J163" si="36">SUM(C150:C162)</f>
        <v>82929.371499999994</v>
      </c>
      <c r="D163" s="483">
        <f t="shared" si="36"/>
        <v>0</v>
      </c>
      <c r="E163" s="483">
        <f t="shared" si="36"/>
        <v>22240</v>
      </c>
      <c r="F163" s="483">
        <f t="shared" si="36"/>
        <v>240</v>
      </c>
      <c r="G163" s="483">
        <f t="shared" si="36"/>
        <v>16650</v>
      </c>
      <c r="H163" s="483">
        <f t="shared" si="36"/>
        <v>480</v>
      </c>
      <c r="I163" s="483">
        <f t="shared" si="36"/>
        <v>10370</v>
      </c>
      <c r="J163" s="483">
        <f t="shared" si="36"/>
        <v>132909.37150000001</v>
      </c>
      <c r="K163" s="225"/>
      <c r="L163" s="260"/>
      <c r="M163" s="260"/>
      <c r="N163" s="260"/>
      <c r="O163" s="260"/>
      <c r="P163" s="260"/>
    </row>
    <row r="164" spans="1:16" ht="15" thickBot="1" x14ac:dyDescent="0.35">
      <c r="A164" s="107"/>
      <c r="B164" s="529" t="s">
        <v>448</v>
      </c>
      <c r="C164" s="150" t="str">
        <f t="shared" ref="C164:J164" si="37">C1</f>
        <v>Operating</v>
      </c>
      <c r="D164" s="150" t="str">
        <f t="shared" si="37"/>
        <v>Weights</v>
      </c>
      <c r="E164" s="150" t="str">
        <f t="shared" si="37"/>
        <v>SPED</v>
      </c>
      <c r="F164" s="150" t="str">
        <f t="shared" si="37"/>
        <v>NSLP</v>
      </c>
      <c r="G164" s="150" t="str">
        <f t="shared" si="37"/>
        <v>CSP</v>
      </c>
      <c r="H164" s="150" t="str">
        <f t="shared" si="37"/>
        <v>Title I</v>
      </c>
      <c r="I164" s="150" t="str">
        <f t="shared" si="37"/>
        <v>Title II</v>
      </c>
      <c r="J164" s="150" t="str">
        <f t="shared" si="37"/>
        <v>Total</v>
      </c>
      <c r="K164" s="230"/>
    </row>
    <row r="165" spans="1:16" x14ac:dyDescent="0.3">
      <c r="A165" s="67">
        <v>533</v>
      </c>
      <c r="B165" s="410" t="s">
        <v>103</v>
      </c>
      <c r="C165" s="143">
        <v>6000</v>
      </c>
      <c r="D165" s="143"/>
      <c r="E165" s="143"/>
      <c r="F165" s="143"/>
      <c r="G165" s="143"/>
      <c r="H165" s="143"/>
      <c r="I165" s="143"/>
      <c r="J165" s="143">
        <f t="shared" ref="J165:J171" si="38">SUM(C165:I165)</f>
        <v>6000</v>
      </c>
      <c r="K165" s="225"/>
    </row>
    <row r="166" spans="1:16" x14ac:dyDescent="0.3">
      <c r="A166" s="67">
        <v>535</v>
      </c>
      <c r="B166" s="410" t="s">
        <v>104</v>
      </c>
      <c r="C166" s="143">
        <v>7000</v>
      </c>
      <c r="D166" s="143"/>
      <c r="E166" s="143"/>
      <c r="F166" s="143"/>
      <c r="G166" s="143"/>
      <c r="H166" s="143"/>
      <c r="I166" s="143"/>
      <c r="J166" s="143">
        <f t="shared" si="38"/>
        <v>7000</v>
      </c>
      <c r="K166" s="225"/>
    </row>
    <row r="167" spans="1:16" x14ac:dyDescent="0.3">
      <c r="A167" s="67">
        <v>534</v>
      </c>
      <c r="B167" s="410" t="s">
        <v>105</v>
      </c>
      <c r="C167" s="143">
        <v>0</v>
      </c>
      <c r="D167" s="143"/>
      <c r="E167" s="143"/>
      <c r="F167" s="143"/>
      <c r="G167" s="143"/>
      <c r="H167" s="143"/>
      <c r="I167" s="143"/>
      <c r="J167" s="143">
        <f t="shared" si="38"/>
        <v>0</v>
      </c>
      <c r="K167" s="225"/>
    </row>
    <row r="168" spans="1:16" x14ac:dyDescent="0.3">
      <c r="A168" s="67">
        <v>531</v>
      </c>
      <c r="B168" s="410" t="s">
        <v>106</v>
      </c>
      <c r="C168" s="143">
        <v>750</v>
      </c>
      <c r="D168" s="143"/>
      <c r="E168" s="143"/>
      <c r="F168" s="143"/>
      <c r="G168" s="143"/>
      <c r="H168" s="143"/>
      <c r="I168" s="143"/>
      <c r="J168" s="143">
        <f t="shared" si="38"/>
        <v>750</v>
      </c>
      <c r="K168" s="225"/>
    </row>
    <row r="169" spans="1:16" x14ac:dyDescent="0.3">
      <c r="A169" s="67">
        <v>535</v>
      </c>
      <c r="B169" s="410" t="s">
        <v>107</v>
      </c>
      <c r="C169" s="143">
        <v>0</v>
      </c>
      <c r="D169" s="143"/>
      <c r="E169" s="143"/>
      <c r="F169" s="143"/>
      <c r="G169" s="143"/>
      <c r="H169" s="143"/>
      <c r="I169" s="143"/>
      <c r="J169" s="143">
        <f t="shared" si="38"/>
        <v>0</v>
      </c>
      <c r="K169" s="225"/>
    </row>
    <row r="170" spans="1:16" x14ac:dyDescent="0.3">
      <c r="A170" s="67">
        <v>443</v>
      </c>
      <c r="B170" s="410" t="s">
        <v>108</v>
      </c>
      <c r="C170" s="143">
        <v>12000</v>
      </c>
      <c r="D170" s="143"/>
      <c r="E170" s="143"/>
      <c r="F170" s="143"/>
      <c r="G170" s="143"/>
      <c r="H170" s="143"/>
      <c r="I170" s="143"/>
      <c r="J170" s="143">
        <f t="shared" si="38"/>
        <v>12000</v>
      </c>
      <c r="K170" s="225"/>
    </row>
    <row r="171" spans="1:16" ht="15" thickBot="1" x14ac:dyDescent="0.35">
      <c r="A171" s="67">
        <v>651</v>
      </c>
      <c r="B171" s="410" t="s">
        <v>109</v>
      </c>
      <c r="C171" s="143">
        <v>0</v>
      </c>
      <c r="D171" s="143"/>
      <c r="E171" s="143"/>
      <c r="F171" s="143"/>
      <c r="G171" s="143"/>
      <c r="H171" s="143"/>
      <c r="I171" s="143"/>
      <c r="J171" s="143">
        <f t="shared" si="38"/>
        <v>0</v>
      </c>
      <c r="K171" s="225"/>
    </row>
    <row r="172" spans="1:16" ht="15" thickBot="1" x14ac:dyDescent="0.35">
      <c r="A172" s="103"/>
      <c r="B172" s="528" t="s">
        <v>449</v>
      </c>
      <c r="C172" s="483">
        <f t="shared" ref="C172:J172" si="39">SUM(C165:C171)</f>
        <v>25750</v>
      </c>
      <c r="D172" s="483">
        <f t="shared" si="39"/>
        <v>0</v>
      </c>
      <c r="E172" s="483">
        <f t="shared" si="39"/>
        <v>0</v>
      </c>
      <c r="F172" s="483">
        <f t="shared" si="39"/>
        <v>0</v>
      </c>
      <c r="G172" s="483">
        <f t="shared" si="39"/>
        <v>0</v>
      </c>
      <c r="H172" s="483">
        <f t="shared" si="39"/>
        <v>0</v>
      </c>
      <c r="I172" s="483">
        <f t="shared" si="39"/>
        <v>0</v>
      </c>
      <c r="J172" s="483">
        <f t="shared" si="39"/>
        <v>25750</v>
      </c>
      <c r="K172" s="225"/>
    </row>
    <row r="173" spans="1:16" ht="15" thickBot="1" x14ac:dyDescent="0.35">
      <c r="A173" s="107"/>
      <c r="B173" s="108" t="s">
        <v>111</v>
      </c>
      <c r="C173" s="162"/>
      <c r="D173" s="162"/>
      <c r="E173" s="162"/>
      <c r="F173" s="162"/>
      <c r="G173" s="162"/>
      <c r="H173" s="162"/>
      <c r="I173" s="162"/>
      <c r="J173" s="162"/>
      <c r="K173" s="225"/>
    </row>
    <row r="174" spans="1:16" x14ac:dyDescent="0.3">
      <c r="A174" s="67">
        <v>521</v>
      </c>
      <c r="B174" s="410" t="s">
        <v>410</v>
      </c>
      <c r="C174" s="145">
        <f>20000*0.35</f>
        <v>7000</v>
      </c>
      <c r="D174" s="143"/>
      <c r="E174" s="143"/>
      <c r="F174" s="143"/>
      <c r="G174" s="143"/>
      <c r="H174" s="143"/>
      <c r="I174" s="143"/>
      <c r="J174" s="143">
        <f>SUM(C174:I174)</f>
        <v>7000</v>
      </c>
      <c r="K174" s="225"/>
    </row>
    <row r="175" spans="1:16" x14ac:dyDescent="0.3">
      <c r="A175" s="67">
        <v>522</v>
      </c>
      <c r="B175" s="410" t="s">
        <v>113</v>
      </c>
      <c r="C175" s="145">
        <f>20000*0.25</f>
        <v>5000</v>
      </c>
      <c r="D175" s="143"/>
      <c r="E175" s="143"/>
      <c r="F175" s="143"/>
      <c r="G175" s="143"/>
      <c r="H175" s="143"/>
      <c r="I175" s="143"/>
      <c r="J175" s="143">
        <f>SUM(C175:I175)</f>
        <v>5000</v>
      </c>
      <c r="K175" s="225"/>
      <c r="L175" s="408"/>
    </row>
    <row r="176" spans="1:16" ht="15" thickBot="1" x14ac:dyDescent="0.35">
      <c r="A176" s="67">
        <v>523</v>
      </c>
      <c r="B176" s="410" t="s">
        <v>114</v>
      </c>
      <c r="C176" s="145">
        <f>20000*0.4+5500</f>
        <v>13500</v>
      </c>
      <c r="D176" s="143"/>
      <c r="E176" s="143"/>
      <c r="F176" s="143"/>
      <c r="G176" s="143"/>
      <c r="H176" s="143"/>
      <c r="I176" s="143"/>
      <c r="J176" s="143">
        <f>SUM(C176:I176)</f>
        <v>13500</v>
      </c>
      <c r="K176" s="225"/>
    </row>
    <row r="177" spans="1:14" ht="15" thickBot="1" x14ac:dyDescent="0.35">
      <c r="A177" s="103"/>
      <c r="B177" s="528" t="s">
        <v>450</v>
      </c>
      <c r="C177" s="483">
        <f t="shared" ref="C177:J177" si="40">SUM(C174:C176)</f>
        <v>25500</v>
      </c>
      <c r="D177" s="483">
        <f t="shared" si="40"/>
        <v>0</v>
      </c>
      <c r="E177" s="483">
        <f t="shared" si="40"/>
        <v>0</v>
      </c>
      <c r="F177" s="483">
        <f t="shared" si="40"/>
        <v>0</v>
      </c>
      <c r="G177" s="483">
        <f t="shared" si="40"/>
        <v>0</v>
      </c>
      <c r="H177" s="483">
        <f t="shared" si="40"/>
        <v>0</v>
      </c>
      <c r="I177" s="483">
        <f t="shared" si="40"/>
        <v>0</v>
      </c>
      <c r="J177" s="483">
        <f t="shared" si="40"/>
        <v>25500</v>
      </c>
      <c r="K177" s="225"/>
    </row>
    <row r="178" spans="1:14" ht="15" thickBot="1" x14ac:dyDescent="0.35">
      <c r="A178" s="107"/>
      <c r="B178" s="108" t="s">
        <v>116</v>
      </c>
      <c r="C178" s="162"/>
      <c r="D178" s="162"/>
      <c r="E178" s="162"/>
      <c r="F178" s="162"/>
      <c r="G178" s="162"/>
      <c r="H178" s="162"/>
      <c r="I178" s="162"/>
      <c r="J178" s="162"/>
      <c r="K178" s="225"/>
    </row>
    <row r="179" spans="1:14" x14ac:dyDescent="0.3">
      <c r="A179" s="67">
        <v>570</v>
      </c>
      <c r="B179" s="410" t="s">
        <v>392</v>
      </c>
      <c r="C179" s="143">
        <v>0</v>
      </c>
      <c r="D179" s="143"/>
      <c r="E179" s="143"/>
      <c r="F179" s="143">
        <f>((C19*F25)*3.25*180)+((C19*F25)*2.5*180)</f>
        <v>97911</v>
      </c>
      <c r="G179" s="143"/>
      <c r="H179" s="143"/>
      <c r="I179" s="143"/>
      <c r="J179" s="143">
        <f t="shared" ref="J179:J187" si="41">SUM(C179:I179)</f>
        <v>97911</v>
      </c>
      <c r="K179" s="239"/>
    </row>
    <row r="180" spans="1:14" x14ac:dyDescent="0.3">
      <c r="A180" s="67">
        <v>540</v>
      </c>
      <c r="B180" s="410" t="s">
        <v>118</v>
      </c>
      <c r="C180" s="145">
        <v>5000</v>
      </c>
      <c r="D180" s="143"/>
      <c r="E180" s="143"/>
      <c r="F180" s="143"/>
      <c r="G180" s="143"/>
      <c r="H180" s="143"/>
      <c r="I180" s="143"/>
      <c r="J180" s="143">
        <f t="shared" si="41"/>
        <v>5000</v>
      </c>
      <c r="K180" s="225"/>
    </row>
    <row r="181" spans="1:14" x14ac:dyDescent="0.3">
      <c r="A181" s="67">
        <v>580</v>
      </c>
      <c r="B181" s="410" t="s">
        <v>119</v>
      </c>
      <c r="C181" s="143">
        <v>0</v>
      </c>
      <c r="D181" s="143"/>
      <c r="E181" s="143"/>
      <c r="F181" s="143"/>
      <c r="G181" s="143">
        <v>2420</v>
      </c>
      <c r="H181" s="143"/>
      <c r="I181" s="143"/>
      <c r="J181" s="143">
        <f t="shared" si="41"/>
        <v>2420</v>
      </c>
      <c r="K181" s="225"/>
    </row>
    <row r="182" spans="1:14" x14ac:dyDescent="0.3">
      <c r="A182" s="67">
        <v>340</v>
      </c>
      <c r="B182" s="410" t="s">
        <v>120</v>
      </c>
      <c r="C182" s="143">
        <f>60*J65</f>
        <v>720</v>
      </c>
      <c r="D182" s="143">
        <f>60*D65</f>
        <v>0</v>
      </c>
      <c r="E182" s="143">
        <v>0</v>
      </c>
      <c r="F182" s="143">
        <v>0</v>
      </c>
      <c r="G182" s="143"/>
      <c r="H182" s="143">
        <f>60*H65</f>
        <v>120</v>
      </c>
      <c r="I182" s="143"/>
      <c r="J182" s="143">
        <f t="shared" si="41"/>
        <v>840</v>
      </c>
      <c r="K182" s="225"/>
    </row>
    <row r="183" spans="1:14" x14ac:dyDescent="0.3">
      <c r="A183" s="112">
        <v>810</v>
      </c>
      <c r="B183" s="410" t="s">
        <v>121</v>
      </c>
      <c r="C183" s="145">
        <v>5500</v>
      </c>
      <c r="D183" s="143"/>
      <c r="E183" s="143"/>
      <c r="F183" s="143"/>
      <c r="G183" s="143"/>
      <c r="H183" s="143"/>
      <c r="I183" s="143"/>
      <c r="J183" s="143">
        <f t="shared" si="41"/>
        <v>5500</v>
      </c>
      <c r="K183" s="225"/>
    </row>
    <row r="184" spans="1:14" hidden="1" x14ac:dyDescent="0.3">
      <c r="A184" s="94"/>
      <c r="B184" s="410" t="s">
        <v>122</v>
      </c>
      <c r="C184" s="145"/>
      <c r="D184" s="143"/>
      <c r="E184" s="143"/>
      <c r="F184" s="143"/>
      <c r="G184" s="143"/>
      <c r="H184" s="143"/>
      <c r="I184" s="143"/>
      <c r="J184" s="143">
        <f t="shared" si="41"/>
        <v>0</v>
      </c>
      <c r="K184" s="225"/>
    </row>
    <row r="185" spans="1:14" x14ac:dyDescent="0.3">
      <c r="A185" s="112"/>
      <c r="B185" s="410" t="s">
        <v>123</v>
      </c>
      <c r="C185" s="145"/>
      <c r="D185" s="143"/>
      <c r="E185" s="143"/>
      <c r="F185" s="143"/>
      <c r="G185" s="143"/>
      <c r="H185" s="143"/>
      <c r="I185" s="143"/>
      <c r="J185" s="143">
        <f t="shared" si="41"/>
        <v>0</v>
      </c>
      <c r="K185" s="225"/>
    </row>
    <row r="186" spans="1:14" x14ac:dyDescent="0.3">
      <c r="A186" s="112"/>
      <c r="B186" s="410" t="s">
        <v>124</v>
      </c>
      <c r="C186" s="145">
        <v>0</v>
      </c>
      <c r="D186" s="143"/>
      <c r="E186" s="143"/>
      <c r="F186" s="143"/>
      <c r="G186" s="143"/>
      <c r="H186" s="143"/>
      <c r="I186" s="143"/>
      <c r="J186" s="143">
        <f t="shared" si="41"/>
        <v>0</v>
      </c>
      <c r="K186" s="225"/>
      <c r="L186" s="260"/>
      <c r="M186" s="260"/>
      <c r="N186" s="261"/>
    </row>
    <row r="187" spans="1:14" ht="15" thickBot="1" x14ac:dyDescent="0.35">
      <c r="A187" s="67">
        <v>900</v>
      </c>
      <c r="B187" s="410" t="s">
        <v>125</v>
      </c>
      <c r="C187" s="143">
        <v>1000</v>
      </c>
      <c r="D187" s="143"/>
      <c r="E187" s="143"/>
      <c r="F187" s="143"/>
      <c r="G187" s="143">
        <v>950</v>
      </c>
      <c r="H187" s="143"/>
      <c r="I187" s="143"/>
      <c r="J187" s="143">
        <f t="shared" si="41"/>
        <v>1950</v>
      </c>
      <c r="K187" s="225"/>
    </row>
    <row r="188" spans="1:14" ht="15" thickBot="1" x14ac:dyDescent="0.35">
      <c r="A188" s="103"/>
      <c r="B188" s="528" t="s">
        <v>451</v>
      </c>
      <c r="C188" s="483">
        <f t="shared" ref="C188:J188" si="42">SUM(C179:C187)</f>
        <v>12220</v>
      </c>
      <c r="D188" s="483">
        <f t="shared" si="42"/>
        <v>0</v>
      </c>
      <c r="E188" s="483">
        <f t="shared" si="42"/>
        <v>0</v>
      </c>
      <c r="F188" s="483">
        <f t="shared" si="42"/>
        <v>97911</v>
      </c>
      <c r="G188" s="483">
        <f t="shared" si="42"/>
        <v>3370</v>
      </c>
      <c r="H188" s="483">
        <f t="shared" si="42"/>
        <v>120</v>
      </c>
      <c r="I188" s="483">
        <f t="shared" si="42"/>
        <v>0</v>
      </c>
      <c r="J188" s="483">
        <f t="shared" si="42"/>
        <v>113621</v>
      </c>
      <c r="K188" s="225"/>
    </row>
    <row r="189" spans="1:14" ht="15" thickBot="1" x14ac:dyDescent="0.35">
      <c r="A189" s="107"/>
      <c r="B189" s="108" t="s">
        <v>127</v>
      </c>
      <c r="C189" s="150" t="str">
        <f>C1</f>
        <v>Operating</v>
      </c>
      <c r="D189" s="150" t="str">
        <f>D1</f>
        <v>Weights</v>
      </c>
      <c r="E189" s="150" t="str">
        <f>E1</f>
        <v>SPED</v>
      </c>
      <c r="F189" s="150" t="str">
        <f>F1</f>
        <v>NSLP</v>
      </c>
      <c r="G189" s="150"/>
      <c r="H189" s="150" t="str">
        <f>H1</f>
        <v>Title I</v>
      </c>
      <c r="I189" s="150" t="str">
        <f>I1</f>
        <v>Title II</v>
      </c>
      <c r="J189" s="150" t="str">
        <f>J1</f>
        <v>Total</v>
      </c>
      <c r="K189" s="230"/>
    </row>
    <row r="190" spans="1:14" x14ac:dyDescent="0.3">
      <c r="A190" s="78">
        <v>622</v>
      </c>
      <c r="B190" s="410" t="s">
        <v>325</v>
      </c>
      <c r="C190" s="157">
        <f>30000</f>
        <v>30000</v>
      </c>
      <c r="D190" s="143"/>
      <c r="E190" s="143"/>
      <c r="F190" s="143"/>
      <c r="G190" s="143"/>
      <c r="H190" s="143"/>
      <c r="I190" s="143"/>
      <c r="J190" s="143">
        <f t="shared" ref="J190:J200" si="43">SUM(C190:H190)</f>
        <v>30000</v>
      </c>
      <c r="K190" s="225"/>
    </row>
    <row r="191" spans="1:14" x14ac:dyDescent="0.3">
      <c r="A191" s="67">
        <v>621</v>
      </c>
      <c r="B191" s="410" t="s">
        <v>129</v>
      </c>
      <c r="C191" s="157">
        <v>0</v>
      </c>
      <c r="D191" s="143"/>
      <c r="E191" s="143"/>
      <c r="F191" s="143"/>
      <c r="G191" s="143"/>
      <c r="H191" s="143"/>
      <c r="I191" s="143"/>
      <c r="J191" s="143">
        <f t="shared" si="43"/>
        <v>0</v>
      </c>
      <c r="K191" s="225"/>
    </row>
    <row r="192" spans="1:14" x14ac:dyDescent="0.3">
      <c r="A192" s="67">
        <v>411</v>
      </c>
      <c r="B192" s="410" t="s">
        <v>130</v>
      </c>
      <c r="C192" s="157">
        <f>10000</f>
        <v>10000</v>
      </c>
      <c r="D192" s="143"/>
      <c r="E192" s="143"/>
      <c r="F192" s="143"/>
      <c r="G192" s="143"/>
      <c r="H192" s="143"/>
      <c r="I192" s="143"/>
      <c r="J192" s="143">
        <f t="shared" si="43"/>
        <v>10000</v>
      </c>
      <c r="K192" s="225"/>
    </row>
    <row r="193" spans="1:16" x14ac:dyDescent="0.3">
      <c r="A193" s="67">
        <v>422</v>
      </c>
      <c r="B193" s="410" t="s">
        <v>131</v>
      </c>
      <c r="C193" s="157">
        <f>7500</f>
        <v>7500</v>
      </c>
      <c r="D193" s="143"/>
      <c r="E193" s="143"/>
      <c r="F193" s="143"/>
      <c r="G193" s="143"/>
      <c r="H193" s="143"/>
      <c r="I193" s="143"/>
      <c r="J193" s="143">
        <f t="shared" si="43"/>
        <v>7500</v>
      </c>
      <c r="K193" s="225"/>
    </row>
    <row r="194" spans="1:16" x14ac:dyDescent="0.3">
      <c r="A194" s="67">
        <v>490</v>
      </c>
      <c r="B194" s="410" t="s">
        <v>132</v>
      </c>
      <c r="C194" s="143">
        <v>5000</v>
      </c>
      <c r="D194" s="143"/>
      <c r="E194" s="143"/>
      <c r="F194" s="143"/>
      <c r="G194" s="143"/>
      <c r="H194" s="143"/>
      <c r="I194" s="143"/>
      <c r="J194" s="143">
        <f t="shared" si="43"/>
        <v>5000</v>
      </c>
      <c r="K194" s="225"/>
    </row>
    <row r="195" spans="1:16" x14ac:dyDescent="0.3">
      <c r="A195" s="67">
        <v>422</v>
      </c>
      <c r="B195" s="410" t="s">
        <v>133</v>
      </c>
      <c r="C195" s="142">
        <f>((45000*0.55)*0.14)*12</f>
        <v>41580.000000000015</v>
      </c>
      <c r="D195" s="143"/>
      <c r="E195" s="143"/>
      <c r="F195" s="143"/>
      <c r="G195" s="143"/>
      <c r="H195" s="143"/>
      <c r="I195" s="143"/>
      <c r="J195" s="143">
        <f t="shared" si="43"/>
        <v>41580.000000000015</v>
      </c>
      <c r="K195" s="237"/>
    </row>
    <row r="196" spans="1:16" x14ac:dyDescent="0.3">
      <c r="A196" s="67">
        <v>610</v>
      </c>
      <c r="B196" s="410" t="s">
        <v>134</v>
      </c>
      <c r="C196" s="143">
        <f>32*C5</f>
        <v>3520</v>
      </c>
      <c r="D196" s="143"/>
      <c r="E196" s="143"/>
      <c r="F196" s="143"/>
      <c r="G196" s="143"/>
      <c r="H196" s="143"/>
      <c r="I196" s="143"/>
      <c r="J196" s="143">
        <f t="shared" si="43"/>
        <v>3520</v>
      </c>
      <c r="K196" s="237"/>
    </row>
    <row r="197" spans="1:16" x14ac:dyDescent="0.3">
      <c r="A197" s="67" t="s">
        <v>135</v>
      </c>
      <c r="B197" s="410" t="s">
        <v>136</v>
      </c>
      <c r="C197" s="143">
        <v>8500</v>
      </c>
      <c r="D197" s="143"/>
      <c r="E197" s="143"/>
      <c r="F197" s="143"/>
      <c r="G197" s="143"/>
      <c r="H197" s="143"/>
      <c r="I197" s="143"/>
      <c r="J197" s="143">
        <f t="shared" si="43"/>
        <v>8500</v>
      </c>
      <c r="K197" s="237"/>
    </row>
    <row r="198" spans="1:16" hidden="1" x14ac:dyDescent="0.3">
      <c r="A198" s="113"/>
      <c r="B198" s="410" t="s">
        <v>137</v>
      </c>
      <c r="C198" s="143">
        <v>0</v>
      </c>
      <c r="D198" s="143"/>
      <c r="E198" s="143"/>
      <c r="F198" s="143"/>
      <c r="G198" s="143"/>
      <c r="H198" s="143"/>
      <c r="I198" s="143"/>
      <c r="J198" s="143">
        <f t="shared" si="43"/>
        <v>0</v>
      </c>
      <c r="K198" s="237"/>
    </row>
    <row r="199" spans="1:16" x14ac:dyDescent="0.3">
      <c r="A199" s="67">
        <v>420</v>
      </c>
      <c r="B199" s="410" t="s">
        <v>138</v>
      </c>
      <c r="C199" s="142">
        <v>6000</v>
      </c>
      <c r="D199" s="143"/>
      <c r="E199" s="143"/>
      <c r="F199" s="143"/>
      <c r="G199" s="143"/>
      <c r="H199" s="143"/>
      <c r="I199" s="143"/>
      <c r="J199" s="143">
        <f t="shared" si="43"/>
        <v>6000</v>
      </c>
      <c r="K199" s="225"/>
    </row>
    <row r="200" spans="1:16" ht="15" thickBot="1" x14ac:dyDescent="0.35">
      <c r="A200" s="74">
        <v>431</v>
      </c>
      <c r="B200" s="410" t="s">
        <v>139</v>
      </c>
      <c r="C200" s="164">
        <v>7500</v>
      </c>
      <c r="D200" s="143"/>
      <c r="E200" s="143"/>
      <c r="F200" s="143"/>
      <c r="G200" s="143"/>
      <c r="H200" s="143"/>
      <c r="I200" s="143"/>
      <c r="J200" s="143">
        <f t="shared" si="43"/>
        <v>7500</v>
      </c>
      <c r="K200" s="225"/>
    </row>
    <row r="201" spans="1:16" ht="15" thickBot="1" x14ac:dyDescent="0.35">
      <c r="A201" s="95"/>
      <c r="B201" s="528" t="s">
        <v>452</v>
      </c>
      <c r="C201" s="483">
        <f t="shared" ref="C201:J201" si="44">SUM(C190:C200)</f>
        <v>119600.00000000001</v>
      </c>
      <c r="D201" s="483">
        <f t="shared" si="44"/>
        <v>0</v>
      </c>
      <c r="E201" s="483">
        <f t="shared" si="44"/>
        <v>0</v>
      </c>
      <c r="F201" s="483">
        <f t="shared" si="44"/>
        <v>0</v>
      </c>
      <c r="G201" s="483">
        <f t="shared" si="44"/>
        <v>0</v>
      </c>
      <c r="H201" s="483">
        <f t="shared" si="44"/>
        <v>0</v>
      </c>
      <c r="I201" s="483">
        <f t="shared" si="44"/>
        <v>0</v>
      </c>
      <c r="J201" s="483">
        <f t="shared" si="44"/>
        <v>119600.00000000001</v>
      </c>
      <c r="K201" s="225"/>
    </row>
    <row r="202" spans="1:16" ht="15" thickBot="1" x14ac:dyDescent="0.35">
      <c r="A202" s="114"/>
      <c r="B202" s="530"/>
      <c r="C202" s="154"/>
      <c r="D202" s="154"/>
      <c r="E202" s="154"/>
      <c r="F202" s="154"/>
      <c r="G202" s="154"/>
      <c r="H202" s="154"/>
      <c r="I202" s="154"/>
      <c r="J202" s="154"/>
      <c r="K202" s="225"/>
    </row>
    <row r="203" spans="1:16" ht="15" thickBot="1" x14ac:dyDescent="0.35">
      <c r="A203" s="116"/>
      <c r="B203" s="528" t="s">
        <v>453</v>
      </c>
      <c r="C203" s="531">
        <f t="shared" ref="C203:J203" si="45">C136+C148+C163+C172+C177+C188+C201</f>
        <v>792744.37150000001</v>
      </c>
      <c r="D203" s="531">
        <f t="shared" si="45"/>
        <v>0</v>
      </c>
      <c r="E203" s="531">
        <f t="shared" si="45"/>
        <v>99317.8</v>
      </c>
      <c r="F203" s="531">
        <f t="shared" si="45"/>
        <v>130734.39999999999</v>
      </c>
      <c r="G203" s="531">
        <f t="shared" si="45"/>
        <v>419781.1</v>
      </c>
      <c r="H203" s="531">
        <f t="shared" si="45"/>
        <v>60120.399999999994</v>
      </c>
      <c r="I203" s="531">
        <f t="shared" si="45"/>
        <v>10370</v>
      </c>
      <c r="J203" s="531">
        <f t="shared" si="45"/>
        <v>1513068.0715000001</v>
      </c>
      <c r="K203" s="225"/>
      <c r="N203" s="221"/>
    </row>
    <row r="204" spans="1:16" x14ac:dyDescent="0.3">
      <c r="A204" s="78"/>
      <c r="B204" s="532"/>
      <c r="C204" s="157"/>
      <c r="D204" s="157"/>
      <c r="E204" s="157"/>
      <c r="F204" s="157"/>
      <c r="G204" s="157"/>
      <c r="H204" s="157"/>
      <c r="I204" s="157"/>
      <c r="J204" s="157"/>
      <c r="K204" s="225"/>
    </row>
    <row r="205" spans="1:16" x14ac:dyDescent="0.3">
      <c r="A205" s="67"/>
      <c r="B205" s="533" t="s">
        <v>464</v>
      </c>
      <c r="C205" s="143">
        <f>(C19*500)/12</f>
        <v>4583.333333333333</v>
      </c>
      <c r="D205" s="143"/>
      <c r="E205" s="143"/>
      <c r="F205" s="143"/>
      <c r="G205" s="143"/>
      <c r="H205" s="143"/>
      <c r="I205" s="143"/>
      <c r="J205" s="143">
        <f t="shared" ref="J205:J210" si="46">SUM(C205:I205)</f>
        <v>4583.333333333333</v>
      </c>
      <c r="K205" s="225" t="s">
        <v>466</v>
      </c>
    </row>
    <row r="206" spans="1:16" x14ac:dyDescent="0.3">
      <c r="A206" s="67"/>
      <c r="B206" s="533" t="s">
        <v>142</v>
      </c>
      <c r="C206" s="143">
        <f>(C19*500)/12*11</f>
        <v>50416.666666666664</v>
      </c>
      <c r="D206" s="143"/>
      <c r="E206" s="143"/>
      <c r="F206" s="143"/>
      <c r="G206" s="143"/>
      <c r="H206" s="143"/>
      <c r="I206" s="143"/>
      <c r="J206" s="143">
        <f t="shared" si="46"/>
        <v>50416.666666666664</v>
      </c>
      <c r="K206" s="240" t="s">
        <v>465</v>
      </c>
      <c r="L206" s="268"/>
      <c r="M206" s="238"/>
      <c r="N206" s="238"/>
      <c r="O206" s="238"/>
      <c r="P206" s="238"/>
    </row>
    <row r="207" spans="1:16" x14ac:dyDescent="0.3">
      <c r="A207" s="67"/>
      <c r="B207" s="533" t="s">
        <v>143</v>
      </c>
      <c r="C207" s="143">
        <v>0</v>
      </c>
      <c r="D207" s="143"/>
      <c r="E207" s="143"/>
      <c r="F207" s="143"/>
      <c r="G207" s="143"/>
      <c r="H207" s="143"/>
      <c r="I207" s="143"/>
      <c r="J207" s="143">
        <f t="shared" si="46"/>
        <v>0</v>
      </c>
      <c r="K207" s="225"/>
      <c r="L207" s="429"/>
    </row>
    <row r="208" spans="1:16" x14ac:dyDescent="0.3">
      <c r="A208" s="67"/>
      <c r="B208" s="533" t="s">
        <v>383</v>
      </c>
      <c r="C208" s="143">
        <v>0</v>
      </c>
      <c r="D208" s="143"/>
      <c r="E208" s="143"/>
      <c r="F208" s="143"/>
      <c r="G208" s="143"/>
      <c r="H208" s="143"/>
      <c r="I208" s="143"/>
      <c r="J208" s="143">
        <f t="shared" si="46"/>
        <v>0</v>
      </c>
      <c r="K208" s="430" t="s">
        <v>395</v>
      </c>
    </row>
    <row r="209" spans="1:11" x14ac:dyDescent="0.3">
      <c r="A209" s="67"/>
      <c r="B209" s="534"/>
      <c r="C209" s="143">
        <v>0</v>
      </c>
      <c r="D209" s="143">
        <v>0</v>
      </c>
      <c r="E209" s="143">
        <v>0</v>
      </c>
      <c r="F209" s="143">
        <v>0</v>
      </c>
      <c r="G209" s="143"/>
      <c r="H209" s="143">
        <v>0</v>
      </c>
      <c r="I209" s="143"/>
      <c r="J209" s="143">
        <f t="shared" si="46"/>
        <v>0</v>
      </c>
      <c r="K209" s="225"/>
    </row>
    <row r="210" spans="1:11" ht="15" thickBot="1" x14ac:dyDescent="0.35">
      <c r="A210" s="74"/>
      <c r="B210" s="535"/>
      <c r="C210" s="153"/>
      <c r="D210" s="153"/>
      <c r="E210" s="153"/>
      <c r="F210" s="153"/>
      <c r="G210" s="153"/>
      <c r="H210" s="153"/>
      <c r="I210" s="153"/>
      <c r="J210" s="143">
        <f t="shared" si="46"/>
        <v>0</v>
      </c>
      <c r="K210" s="225"/>
    </row>
    <row r="211" spans="1:11" ht="15" thickBot="1" x14ac:dyDescent="0.35">
      <c r="A211" s="116"/>
      <c r="B211" s="536" t="s">
        <v>145</v>
      </c>
      <c r="C211" s="537">
        <f t="shared" ref="C211:J211" si="47">C85-C203-C205-C206-C208-C207</f>
        <v>154505.42850000004</v>
      </c>
      <c r="D211" s="538">
        <f t="shared" si="47"/>
        <v>0</v>
      </c>
      <c r="E211" s="538">
        <f t="shared" si="47"/>
        <v>-89817.8</v>
      </c>
      <c r="F211" s="538">
        <f t="shared" si="47"/>
        <v>-39804.880000000005</v>
      </c>
      <c r="G211" s="538">
        <f t="shared" si="47"/>
        <v>0</v>
      </c>
      <c r="H211" s="538">
        <f t="shared" si="47"/>
        <v>-23935.899999999994</v>
      </c>
      <c r="I211" s="538">
        <f t="shared" si="47"/>
        <v>0</v>
      </c>
      <c r="J211" s="538">
        <f t="shared" si="47"/>
        <v>946.84849999984726</v>
      </c>
      <c r="K211" s="225"/>
    </row>
    <row r="212" spans="1:11" ht="15" thickBot="1" x14ac:dyDescent="0.35">
      <c r="A212" s="78"/>
      <c r="B212" s="539"/>
      <c r="C212" s="165">
        <f t="shared" ref="C212:J212" si="48">C211/(C85)</f>
        <v>0.15415860247614918</v>
      </c>
      <c r="D212" s="165" t="e">
        <f t="shared" si="48"/>
        <v>#DIV/0!</v>
      </c>
      <c r="E212" s="165">
        <f t="shared" si="48"/>
        <v>-9.4545052631578947</v>
      </c>
      <c r="F212" s="165">
        <f t="shared" si="48"/>
        <v>-0.43775530762727011</v>
      </c>
      <c r="G212" s="165">
        <f t="shared" si="48"/>
        <v>0</v>
      </c>
      <c r="H212" s="165">
        <f t="shared" si="48"/>
        <v>-0.66149594439608106</v>
      </c>
      <c r="I212" s="165">
        <f t="shared" si="48"/>
        <v>0</v>
      </c>
      <c r="J212" s="165">
        <f t="shared" si="48"/>
        <v>6.0346685549672618E-4</v>
      </c>
      <c r="K212" s="225"/>
    </row>
    <row r="213" spans="1:11" x14ac:dyDescent="0.3">
      <c r="B213" s="3" t="str">
        <f t="shared" ref="B213:J213" si="49">B1</f>
        <v>Young Women's Leadership Academy - FY23</v>
      </c>
      <c r="C213" s="3" t="str">
        <f t="shared" si="49"/>
        <v>Operating</v>
      </c>
      <c r="D213" s="3" t="str">
        <f t="shared" si="49"/>
        <v>Weights</v>
      </c>
      <c r="E213" s="3" t="str">
        <f t="shared" si="49"/>
        <v>SPED</v>
      </c>
      <c r="F213" s="3" t="str">
        <f t="shared" si="49"/>
        <v>NSLP</v>
      </c>
      <c r="G213" s="3" t="str">
        <f t="shared" si="49"/>
        <v>CSP</v>
      </c>
      <c r="H213" s="3" t="str">
        <f t="shared" si="49"/>
        <v>Title I</v>
      </c>
      <c r="I213" s="3" t="str">
        <f t="shared" si="49"/>
        <v>Title II</v>
      </c>
      <c r="J213" s="3" t="str">
        <f t="shared" si="49"/>
        <v>Total</v>
      </c>
      <c r="K213" s="230"/>
    </row>
    <row r="214" spans="1:11" hidden="1" x14ac:dyDescent="0.3"/>
    <row r="215" spans="1:11" hidden="1" x14ac:dyDescent="0.3"/>
    <row r="216" spans="1:11" hidden="1" x14ac:dyDescent="0.3">
      <c r="A216" s="113"/>
      <c r="B216" s="126" t="s">
        <v>146</v>
      </c>
      <c r="C216" s="7"/>
      <c r="D216" s="7"/>
      <c r="E216" s="7"/>
      <c r="F216" s="7"/>
      <c r="G216" s="7"/>
      <c r="H216" s="7"/>
      <c r="I216" s="7"/>
      <c r="J216" s="7"/>
    </row>
    <row r="217" spans="1:11" hidden="1" x14ac:dyDescent="0.3">
      <c r="A217" s="113"/>
      <c r="B217" s="126" t="s">
        <v>147</v>
      </c>
      <c r="C217" s="7"/>
      <c r="D217" s="7"/>
      <c r="E217" s="7"/>
      <c r="F217" s="7"/>
      <c r="G217" s="7"/>
      <c r="H217" s="7"/>
      <c r="I217" s="7"/>
      <c r="J217" s="7"/>
    </row>
    <row r="218" spans="1:11" hidden="1" x14ac:dyDescent="0.3"/>
    <row r="219" spans="1:11" ht="15" thickBot="1" x14ac:dyDescent="0.35"/>
    <row r="220" spans="1:11" ht="15" thickBot="1" x14ac:dyDescent="0.35">
      <c r="A220" s="116"/>
      <c r="B220" s="122" t="s">
        <v>49</v>
      </c>
      <c r="C220" s="269">
        <f>C74-((C125*1.4725)+C179)</f>
        <v>0</v>
      </c>
      <c r="D220" s="269">
        <f>D74-((D125*1.4725)+D179)</f>
        <v>0</v>
      </c>
      <c r="E220" s="269">
        <f>E74-((E125*1.4775)+E179)</f>
        <v>0</v>
      </c>
      <c r="F220" s="269">
        <f>F74-((F125*1.4825)+F179)</f>
        <v>-37698.880000000005</v>
      </c>
      <c r="G220" s="269"/>
      <c r="H220" s="269">
        <f>H74-((H125*1.4875)+H179)</f>
        <v>0</v>
      </c>
      <c r="I220" s="269"/>
      <c r="J220" s="269">
        <f>J74-((J125*1.4925)+J179)</f>
        <v>-37906.080000000016</v>
      </c>
    </row>
    <row r="221" spans="1:11" ht="15" thickBot="1" x14ac:dyDescent="0.35">
      <c r="A221" s="116"/>
      <c r="B221" s="122" t="s">
        <v>16</v>
      </c>
      <c r="C221" s="269">
        <f>(C75+C76)-(((C109+C118+C119+C120+C121+C122)*1.4725)+C146+C151)</f>
        <v>0</v>
      </c>
      <c r="D221" s="269">
        <f>(D75+D76)-(((D109+D118+D119+D120+D121+D122)*1.4725)+D146+D151)</f>
        <v>0</v>
      </c>
      <c r="E221" s="269">
        <f>(E75+E76)-(((E109+E118+E119+E120+E121+E122)*1.4775)+E146+E151)</f>
        <v>-88077.8</v>
      </c>
      <c r="F221" s="269">
        <f>(F75+F76)-(((F109+F118+F119+F120+F121+F122)*1.4825)+F146+F151)</f>
        <v>0</v>
      </c>
      <c r="G221" s="269"/>
      <c r="H221" s="269">
        <f>(H75+H76)-(((H109+H118+H119+H120+H121+H122)*1.4875)+H146+H151)</f>
        <v>0</v>
      </c>
      <c r="I221" s="269"/>
      <c r="J221" s="269">
        <f>(J75+J76)-(((J109+J118+J119+J120+J121+J122)*1.4925)+J146+J151)</f>
        <v>-88827.8</v>
      </c>
    </row>
    <row r="225" spans="2:10" x14ac:dyDescent="0.3">
      <c r="B225" s="246" t="s">
        <v>195</v>
      </c>
      <c r="C225" s="247"/>
      <c r="D225" s="247"/>
      <c r="E225" s="247"/>
      <c r="F225" s="247"/>
      <c r="G225" s="247"/>
      <c r="H225" s="247"/>
      <c r="I225" s="247"/>
      <c r="J225" s="247">
        <f>J85-J203</f>
        <v>55946.848499999847</v>
      </c>
    </row>
    <row r="226" spans="2:10" x14ac:dyDescent="0.3">
      <c r="C226" s="248"/>
      <c r="D226" s="248"/>
      <c r="E226" s="248"/>
      <c r="F226" s="248"/>
      <c r="G226" s="248"/>
      <c r="H226" s="248"/>
      <c r="I226" s="248"/>
      <c r="J226" s="248"/>
    </row>
    <row r="227" spans="2:10" x14ac:dyDescent="0.3">
      <c r="B227" s="62" t="str">
        <f>B206</f>
        <v>Scheduled Lease Payment</v>
      </c>
      <c r="C227" s="249"/>
      <c r="D227" s="249"/>
      <c r="E227" s="249"/>
      <c r="F227" s="249"/>
      <c r="G227" s="249"/>
      <c r="H227" s="249"/>
      <c r="I227" s="249"/>
      <c r="J227" s="249">
        <f t="shared" ref="J227:J229" si="50">J206</f>
        <v>50416.666666666664</v>
      </c>
    </row>
    <row r="228" spans="2:10" x14ac:dyDescent="0.3">
      <c r="B228" s="62" t="str">
        <f t="shared" ref="B228:B229" si="51">B207</f>
        <v>Scheduled Bond Payment</v>
      </c>
      <c r="C228" s="249"/>
      <c r="D228" s="249"/>
      <c r="E228" s="249"/>
      <c r="F228" s="249"/>
      <c r="G228" s="249"/>
      <c r="H228" s="249"/>
      <c r="I228" s="249"/>
      <c r="J228" s="249">
        <f t="shared" si="50"/>
        <v>0</v>
      </c>
    </row>
    <row r="229" spans="2:10" x14ac:dyDescent="0.3">
      <c r="B229" s="62" t="str">
        <f t="shared" si="51"/>
        <v>Improvements / Loan</v>
      </c>
      <c r="C229" s="249"/>
      <c r="D229" s="249"/>
      <c r="E229" s="249"/>
      <c r="F229" s="249"/>
      <c r="G229" s="249"/>
      <c r="H229" s="249"/>
      <c r="I229" s="249"/>
      <c r="J229" s="249">
        <f t="shared" si="50"/>
        <v>0</v>
      </c>
    </row>
    <row r="230" spans="2:10" x14ac:dyDescent="0.3">
      <c r="B230" s="251" t="s">
        <v>196</v>
      </c>
      <c r="C230" s="252"/>
      <c r="D230" s="252"/>
      <c r="E230" s="252"/>
      <c r="F230" s="252"/>
      <c r="G230" s="252"/>
      <c r="H230" s="252"/>
      <c r="I230" s="252"/>
      <c r="J230" s="252">
        <f t="shared" ref="J230" si="52">SUM(J227:J229)</f>
        <v>50416.666666666664</v>
      </c>
    </row>
    <row r="231" spans="2:10" x14ac:dyDescent="0.3">
      <c r="C231" s="248"/>
      <c r="D231" s="248"/>
      <c r="E231" s="248"/>
      <c r="F231" s="248"/>
      <c r="G231" s="248"/>
      <c r="H231" s="248"/>
      <c r="I231" s="248"/>
      <c r="J231" s="248"/>
    </row>
    <row r="232" spans="2:10" x14ac:dyDescent="0.3">
      <c r="B232" s="246" t="s">
        <v>197</v>
      </c>
      <c r="C232" s="253"/>
      <c r="D232" s="253"/>
      <c r="E232" s="253"/>
      <c r="F232" s="253"/>
      <c r="G232" s="253"/>
      <c r="H232" s="253"/>
      <c r="I232" s="253"/>
      <c r="J232" s="253">
        <f t="shared" ref="J232" si="53">J225/J230</f>
        <v>1.1096895570247904</v>
      </c>
    </row>
    <row r="233" spans="2:10" x14ac:dyDescent="0.3">
      <c r="C233" s="248"/>
      <c r="D233" s="248"/>
      <c r="E233" s="248"/>
      <c r="F233" s="248"/>
      <c r="G233" s="248"/>
      <c r="H233" s="248"/>
      <c r="I233" s="248"/>
      <c r="J233" s="248"/>
    </row>
    <row r="234" spans="2:10" x14ac:dyDescent="0.3">
      <c r="B234" s="254" t="s">
        <v>198</v>
      </c>
      <c r="C234" s="254"/>
      <c r="D234" s="254"/>
      <c r="E234" s="254"/>
      <c r="F234" s="254"/>
      <c r="G234" s="254"/>
      <c r="H234" s="254"/>
      <c r="I234" s="254"/>
      <c r="J234" s="254"/>
    </row>
    <row r="235" spans="2:10" x14ac:dyDescent="0.3">
      <c r="B235" s="62" t="s">
        <v>199</v>
      </c>
      <c r="C235" s="255"/>
      <c r="D235" s="255"/>
      <c r="E235" s="255"/>
      <c r="F235" s="255"/>
      <c r="G235" s="255"/>
      <c r="H235" s="255"/>
      <c r="I235" s="255"/>
      <c r="J235" s="255">
        <f t="shared" ref="J235" si="54">H238</f>
        <v>0</v>
      </c>
    </row>
    <row r="236" spans="2:10" x14ac:dyDescent="0.3">
      <c r="B236" s="248" t="s">
        <v>200</v>
      </c>
      <c r="C236" s="256"/>
      <c r="D236" s="256"/>
      <c r="E236" s="256"/>
      <c r="F236" s="256"/>
      <c r="G236" s="256"/>
      <c r="H236" s="256"/>
      <c r="I236" s="256"/>
      <c r="J236" s="256">
        <v>0</v>
      </c>
    </row>
    <row r="237" spans="2:10" x14ac:dyDescent="0.3">
      <c r="B237" s="248" t="s">
        <v>201</v>
      </c>
      <c r="C237" s="256"/>
      <c r="D237" s="256"/>
      <c r="E237" s="256"/>
      <c r="F237" s="256"/>
      <c r="G237" s="256"/>
      <c r="H237" s="256"/>
      <c r="I237" s="256"/>
      <c r="J237" s="256">
        <f t="shared" ref="J237" si="55">J211</f>
        <v>946.84849999984726</v>
      </c>
    </row>
    <row r="238" spans="2:10" x14ac:dyDescent="0.3">
      <c r="B238" s="257" t="s">
        <v>202</v>
      </c>
      <c r="C238" s="258"/>
      <c r="D238" s="258"/>
      <c r="E238" s="258"/>
      <c r="F238" s="258"/>
      <c r="G238" s="258"/>
      <c r="H238" s="258"/>
      <c r="I238" s="258"/>
      <c r="J238" s="258">
        <f t="shared" ref="J238" si="56">J235+J236+J237</f>
        <v>946.84849999984726</v>
      </c>
    </row>
    <row r="239" spans="2:10" x14ac:dyDescent="0.3">
      <c r="B239" s="246" t="s">
        <v>203</v>
      </c>
      <c r="C239" s="253"/>
      <c r="D239" s="253"/>
      <c r="E239" s="253"/>
      <c r="F239" s="253"/>
      <c r="G239" s="253"/>
      <c r="H239" s="253"/>
      <c r="I239" s="253"/>
      <c r="J239" s="253">
        <f t="shared" ref="J239" si="57">J238/((SUM(J203:J209))/365)</f>
        <v>0.2203984053889616</v>
      </c>
    </row>
    <row r="241" spans="2:12" x14ac:dyDescent="0.3">
      <c r="D241" s="261"/>
      <c r="E241" s="261"/>
      <c r="F241" s="261"/>
      <c r="G241" s="261"/>
      <c r="H241" s="261"/>
      <c r="I241" s="261"/>
      <c r="J241" s="261"/>
    </row>
    <row r="242" spans="2:12" x14ac:dyDescent="0.3">
      <c r="B242" s="377" t="s">
        <v>308</v>
      </c>
      <c r="C242" s="261"/>
      <c r="D242" s="435"/>
      <c r="E242" s="435"/>
      <c r="F242" s="435"/>
      <c r="G242" s="435"/>
      <c r="H242" s="435"/>
      <c r="I242" s="435"/>
      <c r="J242" s="261">
        <f>J128/SUM(J203:J208)</f>
        <v>0.36289240903659326</v>
      </c>
      <c r="K242" s="219"/>
      <c r="L242" s="223"/>
    </row>
    <row r="243" spans="2:12" x14ac:dyDescent="0.3">
      <c r="B243" s="377" t="s">
        <v>231</v>
      </c>
      <c r="C243" s="261"/>
      <c r="D243" s="435"/>
      <c r="E243" s="435"/>
      <c r="F243" s="435"/>
      <c r="G243" s="435"/>
      <c r="H243" s="435"/>
      <c r="I243" s="435"/>
      <c r="J243" s="261">
        <f>SUM(J129:J132)/SUM(J203:J208)</f>
        <v>0.17041913221558763</v>
      </c>
      <c r="K243" s="219"/>
      <c r="L243" s="223"/>
    </row>
    <row r="244" spans="2:12" x14ac:dyDescent="0.3">
      <c r="B244" s="377" t="s">
        <v>93</v>
      </c>
      <c r="C244" s="261"/>
      <c r="D244" s="435"/>
      <c r="E244" s="435"/>
      <c r="F244" s="435"/>
      <c r="G244" s="435"/>
      <c r="H244" s="435"/>
      <c r="I244" s="435"/>
      <c r="J244" s="261">
        <f t="shared" ref="J244" si="58">J154/SUM(J203:J208)</f>
        <v>2.4871369240171406E-3</v>
      </c>
      <c r="K244" s="219"/>
      <c r="L244" s="223"/>
    </row>
    <row r="245" spans="2:12" x14ac:dyDescent="0.3">
      <c r="B245" s="377" t="s">
        <v>309</v>
      </c>
      <c r="C245" s="261"/>
      <c r="D245" s="435"/>
      <c r="E245" s="435"/>
      <c r="F245" s="435"/>
      <c r="G245" s="435"/>
      <c r="H245" s="435"/>
      <c r="I245" s="435"/>
      <c r="J245" s="261">
        <f t="shared" ref="J245" si="59">(J152+J153+J160+J162)/SUM(J203:J208)</f>
        <v>4.963512134109542E-2</v>
      </c>
      <c r="K245" s="219"/>
      <c r="L245" s="223"/>
    </row>
    <row r="246" spans="2:12" x14ac:dyDescent="0.3">
      <c r="B246" s="377" t="s">
        <v>310</v>
      </c>
      <c r="C246" s="261"/>
      <c r="D246" s="435"/>
      <c r="E246" s="435"/>
      <c r="F246" s="435"/>
      <c r="G246" s="435"/>
      <c r="H246" s="435"/>
      <c r="I246" s="435"/>
      <c r="J246" s="261">
        <f>(J151+J150+J134)/SUM(J203:J208)</f>
        <v>1.9610118054750533E-2</v>
      </c>
      <c r="K246" s="219"/>
      <c r="L246" s="223"/>
    </row>
    <row r="247" spans="2:12" x14ac:dyDescent="0.3">
      <c r="B247" s="377" t="s">
        <v>311</v>
      </c>
      <c r="C247" s="261"/>
      <c r="D247" s="435"/>
      <c r="E247" s="435"/>
      <c r="F247" s="435"/>
      <c r="G247" s="435"/>
      <c r="H247" s="435"/>
      <c r="I247" s="435"/>
      <c r="J247" s="261">
        <f>(J170+J140)/SUM(J203:J208)</f>
        <v>7.6527289969758171E-3</v>
      </c>
      <c r="K247" s="219"/>
      <c r="L247" s="223"/>
    </row>
    <row r="248" spans="2:12" x14ac:dyDescent="0.3">
      <c r="B248" s="377" t="s">
        <v>79</v>
      </c>
      <c r="C248" s="261"/>
      <c r="D248" s="435"/>
      <c r="E248" s="435"/>
      <c r="F248" s="435"/>
      <c r="G248" s="435"/>
      <c r="H248" s="435"/>
      <c r="I248" s="435"/>
      <c r="J248" s="261">
        <f>(J138+J142+J143+J144+J145+J146)/SUM(J203:J208)</f>
        <v>1.1547840510953224E-2</v>
      </c>
      <c r="K248" s="219"/>
      <c r="L248" s="223"/>
    </row>
    <row r="249" spans="2:12" x14ac:dyDescent="0.3">
      <c r="B249" s="377" t="s">
        <v>312</v>
      </c>
      <c r="C249" s="261"/>
      <c r="D249" s="435"/>
      <c r="E249" s="435"/>
      <c r="F249" s="435"/>
      <c r="G249" s="435"/>
      <c r="H249" s="435"/>
      <c r="I249" s="435"/>
      <c r="J249" s="261">
        <f>(J177+J201+J206+J207+J208)/SUM(J203:J208)</f>
        <v>0.12468633869933793</v>
      </c>
      <c r="K249" s="219"/>
      <c r="L249" s="223"/>
    </row>
    <row r="250" spans="2:12" x14ac:dyDescent="0.3">
      <c r="B250" s="377" t="s">
        <v>49</v>
      </c>
      <c r="C250" s="261"/>
      <c r="D250" s="435"/>
      <c r="E250" s="435"/>
      <c r="F250" s="435"/>
      <c r="G250" s="435"/>
      <c r="H250" s="435"/>
      <c r="I250" s="435"/>
      <c r="J250" s="261">
        <f t="shared" ref="J250" si="60">(J179)/SUM(J203:J208)</f>
        <v>6.2440529068574939E-2</v>
      </c>
      <c r="K250" s="261"/>
      <c r="L250" s="223"/>
    </row>
    <row r="251" spans="2:12" x14ac:dyDescent="0.3">
      <c r="B251" s="377" t="s">
        <v>171</v>
      </c>
      <c r="C251" s="261"/>
      <c r="D251" s="435"/>
      <c r="E251" s="435"/>
      <c r="F251" s="435"/>
      <c r="G251" s="435"/>
      <c r="H251" s="435"/>
      <c r="I251" s="435"/>
      <c r="J251" s="261">
        <f t="shared" ref="J251" si="61">(J147)/SUM(J203:J208)</f>
        <v>2.4804344088706224E-3</v>
      </c>
      <c r="K251" s="219"/>
      <c r="L251" s="223"/>
    </row>
    <row r="252" spans="2:12" x14ac:dyDescent="0.3">
      <c r="B252" s="377" t="s">
        <v>313</v>
      </c>
      <c r="C252" s="261"/>
      <c r="D252" s="435"/>
      <c r="E252" s="435"/>
      <c r="F252" s="435"/>
      <c r="G252" s="435"/>
      <c r="H252" s="435"/>
      <c r="I252" s="435"/>
      <c r="J252" s="261">
        <f t="shared" ref="J252" si="62">J181/SUM(J203:J208)</f>
        <v>1.5433003477234564E-3</v>
      </c>
      <c r="K252" s="219"/>
      <c r="L252" s="223"/>
    </row>
    <row r="253" spans="2:12" x14ac:dyDescent="0.3">
      <c r="B253" s="377" t="s">
        <v>314</v>
      </c>
      <c r="C253" s="261"/>
      <c r="D253" s="435"/>
      <c r="E253" s="435"/>
      <c r="F253" s="435"/>
      <c r="G253" s="435"/>
      <c r="H253" s="435"/>
      <c r="I253" s="435"/>
      <c r="J253" s="261">
        <f t="shared" ref="J253" si="63">(J155+J156)/SUM(J203:J208)</f>
        <v>9.5659112462197714E-4</v>
      </c>
      <c r="K253" s="219"/>
      <c r="L253" s="223"/>
    </row>
    <row r="254" spans="2:12" x14ac:dyDescent="0.3">
      <c r="B254" s="377" t="s">
        <v>315</v>
      </c>
      <c r="C254" s="261"/>
      <c r="D254" s="435"/>
      <c r="E254" s="435"/>
      <c r="F254" s="435"/>
      <c r="G254" s="435"/>
      <c r="H254" s="435"/>
      <c r="I254" s="435"/>
      <c r="J254" s="261">
        <f t="shared" ref="J254" si="64">(J157+J158+J165+J166+J167+J169+J171)/SUM(J203:J208)</f>
        <v>1.9546345313109066E-2</v>
      </c>
      <c r="K254" s="219"/>
      <c r="L254" s="223"/>
    </row>
    <row r="255" spans="2:12" x14ac:dyDescent="0.3">
      <c r="B255" s="377" t="s">
        <v>116</v>
      </c>
      <c r="C255" s="261"/>
      <c r="D255" s="435"/>
      <c r="E255" s="435"/>
      <c r="F255" s="435"/>
      <c r="G255" s="435"/>
      <c r="H255" s="435"/>
      <c r="I255" s="435"/>
      <c r="J255" s="261">
        <f>(J159+J168+J180+J182+J183+J185+J187+J133+J186)/SUM(J203:J208)</f>
        <v>1.6114174479573924E-2</v>
      </c>
      <c r="K255" s="261"/>
      <c r="L255" s="223"/>
    </row>
    <row r="256" spans="2:12" x14ac:dyDescent="0.3">
      <c r="B256"/>
      <c r="C256"/>
      <c r="D256"/>
      <c r="E256"/>
      <c r="F256"/>
      <c r="G256"/>
      <c r="H256"/>
      <c r="I256"/>
      <c r="J256"/>
      <c r="K256" s="219"/>
    </row>
    <row r="257" spans="2:12" x14ac:dyDescent="0.3">
      <c r="B257"/>
      <c r="C257" s="378"/>
      <c r="D257" s="378"/>
      <c r="E257" s="378"/>
      <c r="F257" s="378"/>
      <c r="G257" s="378"/>
      <c r="H257" s="378"/>
      <c r="I257" s="378"/>
      <c r="J257" s="378">
        <f>SUM(J242:J256)</f>
        <v>0.85201220052178495</v>
      </c>
      <c r="K257" s="219"/>
      <c r="L257" s="378"/>
    </row>
    <row r="259" spans="2:12" x14ac:dyDescent="0.3">
      <c r="D259" s="379"/>
      <c r="E259" s="379"/>
      <c r="F259" s="379"/>
      <c r="G259" s="379"/>
      <c r="H259" s="379"/>
      <c r="I259" s="379"/>
      <c r="J259" s="379"/>
    </row>
  </sheetData>
  <pageMargins left="0.7" right="0.7" top="0.75" bottom="0.75" header="0.3" footer="0.3"/>
  <pageSetup scale="51" orientation="portrait" r:id="rId1"/>
  <rowBreaks count="2" manualBreakCount="2">
    <brk id="70" max="8" man="1"/>
    <brk id="148" max="8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59"/>
  <sheetViews>
    <sheetView topLeftCell="A168" zoomScale="75" zoomScaleNormal="75" workbookViewId="0">
      <selection activeCell="B205" sqref="B205"/>
    </sheetView>
  </sheetViews>
  <sheetFormatPr defaultColWidth="8.77734375" defaultRowHeight="14.4" x14ac:dyDescent="0.3"/>
  <cols>
    <col min="1" max="1" width="8.77734375" style="5"/>
    <col min="2" max="2" width="56.5546875" style="219" customWidth="1"/>
    <col min="3" max="10" width="15.77734375" style="125" customWidth="1"/>
    <col min="11" max="11" width="15.109375" style="240" customWidth="1"/>
    <col min="12" max="12" width="12.21875" style="219" bestFit="1" customWidth="1"/>
    <col min="13" max="13" width="14.44140625" style="219" customWidth="1"/>
    <col min="14" max="14" width="13.33203125" style="219" bestFit="1" customWidth="1"/>
    <col min="15" max="16" width="11.109375" style="219" bestFit="1" customWidth="1"/>
    <col min="17" max="16384" width="8.77734375" style="219"/>
  </cols>
  <sheetData>
    <row r="1" spans="1:17" s="2" customFormat="1" ht="15" thickBot="1" x14ac:dyDescent="0.35">
      <c r="A1" s="1"/>
      <c r="B1" s="3" t="s">
        <v>389</v>
      </c>
      <c r="C1" s="3" t="s">
        <v>386</v>
      </c>
      <c r="D1" s="3" t="s">
        <v>376</v>
      </c>
      <c r="E1" s="3" t="s">
        <v>16</v>
      </c>
      <c r="F1" s="3" t="s">
        <v>49</v>
      </c>
      <c r="G1" s="3" t="s">
        <v>439</v>
      </c>
      <c r="H1" s="3" t="s">
        <v>384</v>
      </c>
      <c r="I1" s="3" t="s">
        <v>390</v>
      </c>
      <c r="J1" s="3" t="s">
        <v>158</v>
      </c>
      <c r="K1" s="224"/>
      <c r="L1" s="3">
        <v>7197</v>
      </c>
      <c r="M1" s="241" t="s">
        <v>148</v>
      </c>
    </row>
    <row r="2" spans="1:17" x14ac:dyDescent="0.3">
      <c r="B2" s="6" t="s">
        <v>329</v>
      </c>
      <c r="C2" s="140">
        <f>'22-23'!J2*1.013</f>
        <v>7387.9913399999996</v>
      </c>
      <c r="D2" s="140"/>
      <c r="E2" s="140"/>
      <c r="F2" s="140"/>
      <c r="G2" s="140"/>
      <c r="H2" s="140"/>
      <c r="I2" s="140"/>
      <c r="J2" s="140">
        <f>SUM(C2:I2)</f>
        <v>7387.9913399999996</v>
      </c>
      <c r="K2" s="168"/>
      <c r="L2" s="169">
        <f>(J2-L1)/L1</f>
        <v>2.6537632346811113E-2</v>
      </c>
      <c r="M2" s="169"/>
      <c r="N2" s="169"/>
      <c r="O2" s="169"/>
    </row>
    <row r="3" spans="1:17" hidden="1" x14ac:dyDescent="0.3">
      <c r="B3" s="9"/>
      <c r="C3" s="157"/>
      <c r="D3" s="157"/>
      <c r="E3" s="157"/>
      <c r="F3" s="157"/>
      <c r="G3" s="157"/>
      <c r="H3" s="157"/>
      <c r="I3" s="157"/>
      <c r="J3" s="157"/>
      <c r="K3" s="168"/>
      <c r="L3" s="169"/>
      <c r="M3" s="169"/>
      <c r="N3" s="169"/>
      <c r="O3" s="169"/>
    </row>
    <row r="4" spans="1:17" hidden="1" x14ac:dyDescent="0.3">
      <c r="B4" s="9"/>
      <c r="C4" s="157"/>
      <c r="D4" s="157"/>
      <c r="E4" s="157"/>
      <c r="F4" s="157"/>
      <c r="G4" s="157"/>
      <c r="H4" s="157"/>
      <c r="I4" s="157"/>
      <c r="J4" s="157"/>
      <c r="K4" s="168"/>
      <c r="L4" s="169"/>
      <c r="M4" s="169"/>
      <c r="N4" s="169"/>
      <c r="O4" s="169"/>
    </row>
    <row r="5" spans="1:17" x14ac:dyDescent="0.3">
      <c r="B5" s="9" t="s">
        <v>1</v>
      </c>
      <c r="C5" s="141">
        <f t="shared" ref="C5" si="0">C6+C7+C8+C9+C10+C11+C12+C13+C14+C15+C16+C17+C18</f>
        <v>300</v>
      </c>
      <c r="D5" s="141"/>
      <c r="E5" s="141"/>
      <c r="F5" s="141"/>
      <c r="G5" s="141"/>
      <c r="H5" s="141"/>
      <c r="I5" s="141"/>
      <c r="J5" s="141">
        <f t="shared" ref="J5:J18" si="1">SUM(C5:I5)</f>
        <v>300</v>
      </c>
      <c r="K5" s="225"/>
    </row>
    <row r="6" spans="1:17" x14ac:dyDescent="0.3">
      <c r="B6" s="12" t="s">
        <v>2</v>
      </c>
      <c r="C6" s="142">
        <v>0</v>
      </c>
      <c r="D6" s="142"/>
      <c r="E6" s="142"/>
      <c r="F6" s="142"/>
      <c r="G6" s="142"/>
      <c r="H6" s="142"/>
      <c r="I6" s="142"/>
      <c r="J6" s="142">
        <f t="shared" si="1"/>
        <v>0</v>
      </c>
      <c r="K6" s="225"/>
      <c r="L6" s="166">
        <f t="shared" ref="L6:L11" si="2">J6/28</f>
        <v>0</v>
      </c>
      <c r="M6" s="166"/>
      <c r="N6" s="166"/>
      <c r="O6" s="166"/>
      <c r="Q6" s="166"/>
    </row>
    <row r="7" spans="1:17" x14ac:dyDescent="0.3">
      <c r="B7" s="15" t="s">
        <v>3</v>
      </c>
      <c r="C7" s="142">
        <v>0</v>
      </c>
      <c r="D7" s="142"/>
      <c r="E7" s="142"/>
      <c r="F7" s="142"/>
      <c r="G7" s="142"/>
      <c r="H7" s="142"/>
      <c r="I7" s="142"/>
      <c r="J7" s="142">
        <f t="shared" si="1"/>
        <v>0</v>
      </c>
      <c r="K7" s="225"/>
      <c r="L7" s="166">
        <f t="shared" si="2"/>
        <v>0</v>
      </c>
      <c r="M7" s="166"/>
      <c r="N7" s="166"/>
      <c r="O7" s="166"/>
      <c r="Q7" s="166"/>
    </row>
    <row r="8" spans="1:17" x14ac:dyDescent="0.3">
      <c r="B8" s="15" t="s">
        <v>4</v>
      </c>
      <c r="C8" s="142">
        <v>0</v>
      </c>
      <c r="D8" s="142"/>
      <c r="E8" s="142"/>
      <c r="F8" s="142"/>
      <c r="G8" s="142"/>
      <c r="H8" s="142"/>
      <c r="I8" s="142"/>
      <c r="J8" s="142">
        <f t="shared" si="1"/>
        <v>0</v>
      </c>
      <c r="K8" s="225"/>
      <c r="L8" s="166">
        <f t="shared" si="2"/>
        <v>0</v>
      </c>
      <c r="M8" s="166"/>
      <c r="N8" s="166"/>
      <c r="O8" s="166"/>
      <c r="Q8" s="166"/>
    </row>
    <row r="9" spans="1:17" x14ac:dyDescent="0.3">
      <c r="B9" s="16" t="s">
        <v>5</v>
      </c>
      <c r="C9" s="142">
        <v>0</v>
      </c>
      <c r="D9" s="142"/>
      <c r="E9" s="142"/>
      <c r="F9" s="142"/>
      <c r="G9" s="142"/>
      <c r="H9" s="142"/>
      <c r="I9" s="142"/>
      <c r="J9" s="142">
        <f t="shared" si="1"/>
        <v>0</v>
      </c>
      <c r="K9" s="225"/>
      <c r="L9" s="166">
        <f t="shared" si="2"/>
        <v>0</v>
      </c>
      <c r="M9" s="166"/>
      <c r="N9" s="166"/>
      <c r="O9" s="166"/>
      <c r="Q9" s="166"/>
    </row>
    <row r="10" spans="1:17" x14ac:dyDescent="0.3">
      <c r="B10" s="16" t="s">
        <v>6</v>
      </c>
      <c r="C10" s="142">
        <v>0</v>
      </c>
      <c r="D10" s="142"/>
      <c r="E10" s="142"/>
      <c r="F10" s="142"/>
      <c r="G10" s="142"/>
      <c r="H10" s="142"/>
      <c r="I10" s="142"/>
      <c r="J10" s="142">
        <f t="shared" si="1"/>
        <v>0</v>
      </c>
      <c r="K10" s="225"/>
      <c r="L10" s="166">
        <f t="shared" si="2"/>
        <v>0</v>
      </c>
      <c r="M10" s="166"/>
      <c r="N10" s="166"/>
      <c r="O10" s="166"/>
      <c r="Q10" s="166"/>
    </row>
    <row r="11" spans="1:17" x14ac:dyDescent="0.3">
      <c r="B11" s="16" t="s">
        <v>7</v>
      </c>
      <c r="C11" s="142">
        <v>0</v>
      </c>
      <c r="D11" s="142"/>
      <c r="E11" s="142"/>
      <c r="F11" s="142"/>
      <c r="G11" s="142"/>
      <c r="H11" s="142"/>
      <c r="I11" s="142"/>
      <c r="J11" s="142">
        <f t="shared" si="1"/>
        <v>0</v>
      </c>
      <c r="K11" s="225"/>
      <c r="L11" s="166">
        <f t="shared" si="2"/>
        <v>0</v>
      </c>
      <c r="M11" s="166"/>
      <c r="N11" s="166"/>
      <c r="O11" s="166"/>
      <c r="Q11" s="166"/>
    </row>
    <row r="12" spans="1:17" x14ac:dyDescent="0.3">
      <c r="B12" s="16" t="s">
        <v>8</v>
      </c>
      <c r="C12" s="143">
        <v>90</v>
      </c>
      <c r="D12" s="143"/>
      <c r="E12" s="143"/>
      <c r="F12" s="143"/>
      <c r="G12" s="143"/>
      <c r="H12" s="143"/>
      <c r="I12" s="143"/>
      <c r="J12" s="142">
        <f t="shared" si="1"/>
        <v>90</v>
      </c>
      <c r="K12" s="225"/>
      <c r="L12" s="166">
        <f>J12/30</f>
        <v>3</v>
      </c>
      <c r="M12" s="166"/>
      <c r="N12" s="166"/>
      <c r="O12" s="166"/>
      <c r="Q12" s="166"/>
    </row>
    <row r="13" spans="1:17" x14ac:dyDescent="0.3">
      <c r="B13" s="16" t="s">
        <v>9</v>
      </c>
      <c r="C13" s="143">
        <v>90</v>
      </c>
      <c r="D13" s="143"/>
      <c r="E13" s="143"/>
      <c r="F13" s="143"/>
      <c r="G13" s="143"/>
      <c r="H13" s="143"/>
      <c r="I13" s="143"/>
      <c r="J13" s="142">
        <f t="shared" si="1"/>
        <v>90</v>
      </c>
      <c r="K13" s="225"/>
      <c r="L13" s="166">
        <f t="shared" ref="L13:L18" si="3">J13/30</f>
        <v>3</v>
      </c>
      <c r="M13" s="166"/>
      <c r="N13" s="166"/>
      <c r="O13" s="166"/>
      <c r="Q13" s="166"/>
    </row>
    <row r="14" spans="1:17" x14ac:dyDescent="0.3">
      <c r="B14" s="16" t="s">
        <v>10</v>
      </c>
      <c r="C14" s="143">
        <v>0</v>
      </c>
      <c r="D14" s="143"/>
      <c r="E14" s="143"/>
      <c r="F14" s="143"/>
      <c r="G14" s="143"/>
      <c r="H14" s="143"/>
      <c r="I14" s="143"/>
      <c r="J14" s="142">
        <f t="shared" si="1"/>
        <v>0</v>
      </c>
      <c r="K14" s="225"/>
      <c r="L14" s="166">
        <f t="shared" si="3"/>
        <v>0</v>
      </c>
      <c r="M14" s="166"/>
      <c r="N14" s="166"/>
      <c r="O14" s="166"/>
      <c r="Q14" s="166"/>
    </row>
    <row r="15" spans="1:17" x14ac:dyDescent="0.3">
      <c r="B15" s="16" t="s">
        <v>11</v>
      </c>
      <c r="C15" s="143">
        <v>60</v>
      </c>
      <c r="D15" s="143"/>
      <c r="E15" s="143"/>
      <c r="F15" s="143"/>
      <c r="G15" s="143"/>
      <c r="H15" s="143"/>
      <c r="I15" s="143"/>
      <c r="J15" s="142">
        <f t="shared" si="1"/>
        <v>60</v>
      </c>
      <c r="K15" s="225"/>
      <c r="L15" s="166">
        <f t="shared" si="3"/>
        <v>2</v>
      </c>
      <c r="M15" s="166"/>
      <c r="N15" s="166"/>
      <c r="O15" s="166"/>
    </row>
    <row r="16" spans="1:17" x14ac:dyDescent="0.3">
      <c r="B16" s="16" t="s">
        <v>12</v>
      </c>
      <c r="C16" s="143">
        <v>60</v>
      </c>
      <c r="D16" s="143"/>
      <c r="E16" s="143"/>
      <c r="F16" s="143"/>
      <c r="G16" s="143"/>
      <c r="H16" s="143"/>
      <c r="I16" s="143"/>
      <c r="J16" s="142">
        <f t="shared" si="1"/>
        <v>60</v>
      </c>
      <c r="K16" s="225"/>
      <c r="L16" s="166">
        <f t="shared" si="3"/>
        <v>2</v>
      </c>
      <c r="M16" s="166"/>
      <c r="N16" s="166"/>
      <c r="O16" s="166"/>
    </row>
    <row r="17" spans="1:15" x14ac:dyDescent="0.3">
      <c r="B17" s="16" t="s">
        <v>13</v>
      </c>
      <c r="C17" s="143">
        <v>0</v>
      </c>
      <c r="D17" s="143"/>
      <c r="E17" s="143"/>
      <c r="F17" s="143"/>
      <c r="G17" s="143"/>
      <c r="H17" s="143"/>
      <c r="I17" s="143"/>
      <c r="J17" s="142">
        <f t="shared" si="1"/>
        <v>0</v>
      </c>
      <c r="K17" s="225"/>
      <c r="L17" s="166">
        <f t="shared" si="3"/>
        <v>0</v>
      </c>
      <c r="M17" s="166"/>
      <c r="N17" s="166"/>
      <c r="O17" s="166"/>
    </row>
    <row r="18" spans="1:15" x14ac:dyDescent="0.3">
      <c r="B18" s="16" t="s">
        <v>14</v>
      </c>
      <c r="C18" s="143">
        <v>0</v>
      </c>
      <c r="D18" s="143"/>
      <c r="E18" s="143"/>
      <c r="F18" s="143"/>
      <c r="G18" s="143"/>
      <c r="H18" s="143"/>
      <c r="I18" s="143"/>
      <c r="J18" s="142">
        <f t="shared" si="1"/>
        <v>0</v>
      </c>
      <c r="K18" s="225"/>
      <c r="L18" s="166">
        <f t="shared" si="3"/>
        <v>0</v>
      </c>
      <c r="M18" s="166"/>
      <c r="N18" s="166"/>
      <c r="O18" s="166"/>
    </row>
    <row r="19" spans="1:15" x14ac:dyDescent="0.3">
      <c r="B19" s="16" t="s">
        <v>1</v>
      </c>
      <c r="C19" s="141">
        <f t="shared" ref="C19" si="4">SUM(C6:C18)</f>
        <v>300</v>
      </c>
      <c r="D19" s="141">
        <f t="shared" ref="D19:H19" si="5">SUM(D6:D18)</f>
        <v>0</v>
      </c>
      <c r="E19" s="141">
        <f t="shared" si="5"/>
        <v>0</v>
      </c>
      <c r="F19" s="141">
        <f t="shared" si="5"/>
        <v>0</v>
      </c>
      <c r="G19" s="141"/>
      <c r="H19" s="141">
        <f t="shared" si="5"/>
        <v>0</v>
      </c>
      <c r="I19" s="141"/>
      <c r="J19" s="141">
        <f>SUM(J6:J18)</f>
        <v>300</v>
      </c>
      <c r="K19" s="225"/>
      <c r="L19" s="220">
        <f>SUM(L6:L18)</f>
        <v>10</v>
      </c>
      <c r="M19" s="220">
        <f>C19-'22-23'!C19</f>
        <v>190</v>
      </c>
      <c r="N19" s="220"/>
      <c r="O19" s="220"/>
    </row>
    <row r="20" spans="1:15" x14ac:dyDescent="0.3">
      <c r="B20" s="17"/>
      <c r="C20" s="366"/>
      <c r="D20" s="143"/>
      <c r="E20" s="366"/>
      <c r="F20" s="366"/>
      <c r="G20" s="366"/>
      <c r="H20" s="366"/>
      <c r="I20" s="366"/>
      <c r="J20" s="366"/>
      <c r="K20" s="226"/>
      <c r="L20" s="219" t="b">
        <f>ROUND(L19,0)=ROUND(J29,0)</f>
        <v>1</v>
      </c>
    </row>
    <row r="21" spans="1:15" x14ac:dyDescent="0.3">
      <c r="B21" s="19" t="s">
        <v>15</v>
      </c>
      <c r="C21" s="144"/>
      <c r="D21" s="144"/>
      <c r="E21" s="144"/>
      <c r="F21" s="144"/>
      <c r="G21" s="144"/>
      <c r="H21" s="144"/>
      <c r="I21" s="144"/>
      <c r="J21" s="144"/>
      <c r="K21" s="226"/>
    </row>
    <row r="22" spans="1:15" x14ac:dyDescent="0.3">
      <c r="B22" s="411" t="s">
        <v>336</v>
      </c>
      <c r="C22" s="143"/>
      <c r="D22" s="143"/>
      <c r="E22" s="143">
        <f>C19*0.12</f>
        <v>36</v>
      </c>
      <c r="F22" s="143"/>
      <c r="G22" s="143"/>
      <c r="H22" s="143"/>
      <c r="I22" s="143"/>
      <c r="J22" s="143">
        <f>SUM(C22:I22)</f>
        <v>36</v>
      </c>
      <c r="K22" s="227"/>
      <c r="L22" s="221">
        <f>J22/21</f>
        <v>1.7142857142857142</v>
      </c>
      <c r="M22" s="221"/>
      <c r="N22" s="221"/>
      <c r="O22" s="221"/>
    </row>
    <row r="23" spans="1:15" x14ac:dyDescent="0.3">
      <c r="B23" s="411" t="s">
        <v>418</v>
      </c>
      <c r="C23" s="143"/>
      <c r="D23" s="143">
        <f>C19*0.21</f>
        <v>63</v>
      </c>
      <c r="E23" s="143"/>
      <c r="F23" s="143"/>
      <c r="G23" s="143"/>
      <c r="H23" s="143"/>
      <c r="I23" s="143"/>
      <c r="J23" s="143">
        <f>SUM(C23:I23)</f>
        <v>63</v>
      </c>
      <c r="K23" s="227"/>
      <c r="L23" s="244">
        <f>J30-L22</f>
        <v>-0.21428571428571419</v>
      </c>
    </row>
    <row r="24" spans="1:15" x14ac:dyDescent="0.3">
      <c r="B24" s="411" t="s">
        <v>337</v>
      </c>
      <c r="C24" s="145"/>
      <c r="D24" s="145">
        <v>0</v>
      </c>
      <c r="E24" s="145"/>
      <c r="F24" s="145"/>
      <c r="G24" s="145"/>
      <c r="H24" s="145"/>
      <c r="I24" s="145"/>
      <c r="J24" s="143">
        <f>SUM(C24:I24)</f>
        <v>0</v>
      </c>
      <c r="K24" s="226"/>
    </row>
    <row r="25" spans="1:15" x14ac:dyDescent="0.3">
      <c r="B25" s="411" t="s">
        <v>17</v>
      </c>
      <c r="C25" s="412"/>
      <c r="D25" s="412"/>
      <c r="E25" s="412"/>
      <c r="F25" s="412">
        <v>0.86</v>
      </c>
      <c r="G25" s="412"/>
      <c r="H25" s="412"/>
      <c r="I25" s="412"/>
      <c r="J25" s="146">
        <f>SUM(C25:I25)</f>
        <v>0.86</v>
      </c>
      <c r="K25" s="226"/>
    </row>
    <row r="26" spans="1:15" x14ac:dyDescent="0.3">
      <c r="B26" s="411" t="s">
        <v>338</v>
      </c>
      <c r="C26" s="143"/>
      <c r="D26" s="143">
        <f>(C19-E22-D23)*0.86</f>
        <v>172.85999999999999</v>
      </c>
      <c r="E26" s="143"/>
      <c r="F26" s="143"/>
      <c r="G26" s="143"/>
      <c r="H26" s="143"/>
      <c r="I26" s="143"/>
      <c r="J26" s="143">
        <f>SUM(C26:I26)</f>
        <v>172.85999999999999</v>
      </c>
      <c r="K26" s="228"/>
    </row>
    <row r="27" spans="1:15" x14ac:dyDescent="0.3">
      <c r="B27" s="24"/>
      <c r="C27" s="143"/>
      <c r="D27" s="143"/>
      <c r="E27" s="143"/>
      <c r="F27" s="143"/>
      <c r="G27" s="143"/>
      <c r="H27" s="143"/>
      <c r="I27" s="143"/>
      <c r="J27" s="143"/>
      <c r="K27" s="226"/>
    </row>
    <row r="28" spans="1:15" x14ac:dyDescent="0.3">
      <c r="B28" s="19" t="s">
        <v>18</v>
      </c>
      <c r="C28" s="144"/>
      <c r="D28" s="144"/>
      <c r="E28" s="144"/>
      <c r="F28" s="144"/>
      <c r="G28" s="144"/>
      <c r="H28" s="144"/>
      <c r="I28" s="144"/>
      <c r="J28" s="144"/>
      <c r="K28" s="226"/>
      <c r="L28" s="221"/>
    </row>
    <row r="29" spans="1:15" x14ac:dyDescent="0.3">
      <c r="B29" s="25" t="s">
        <v>19</v>
      </c>
      <c r="C29" s="147">
        <v>10</v>
      </c>
      <c r="D29" s="147"/>
      <c r="E29" s="147"/>
      <c r="F29" s="147"/>
      <c r="G29" s="147"/>
      <c r="H29" s="147"/>
      <c r="I29" s="147"/>
      <c r="J29" s="147">
        <f t="shared" ref="J29:J36" si="6">SUM(C29:I29)</f>
        <v>10</v>
      </c>
      <c r="K29" s="227"/>
    </row>
    <row r="30" spans="1:15" s="222" customFormat="1" x14ac:dyDescent="0.3">
      <c r="A30" s="27"/>
      <c r="B30" s="25" t="s">
        <v>20</v>
      </c>
      <c r="C30" s="148">
        <v>0</v>
      </c>
      <c r="D30" s="148"/>
      <c r="E30" s="148">
        <v>1.5</v>
      </c>
      <c r="F30" s="148"/>
      <c r="G30" s="148"/>
      <c r="H30" s="148"/>
      <c r="I30" s="148"/>
      <c r="J30" s="147">
        <f t="shared" si="6"/>
        <v>1.5</v>
      </c>
      <c r="K30" s="229"/>
    </row>
    <row r="31" spans="1:15" x14ac:dyDescent="0.3">
      <c r="B31" s="25" t="s">
        <v>21</v>
      </c>
      <c r="C31" s="147">
        <v>1</v>
      </c>
      <c r="D31" s="147"/>
      <c r="E31" s="147"/>
      <c r="F31" s="147"/>
      <c r="G31" s="147"/>
      <c r="H31" s="147"/>
      <c r="I31" s="147"/>
      <c r="J31" s="147">
        <f t="shared" si="6"/>
        <v>1</v>
      </c>
      <c r="K31" s="226"/>
    </row>
    <row r="32" spans="1:15" x14ac:dyDescent="0.3">
      <c r="B32" s="25" t="s">
        <v>22</v>
      </c>
      <c r="C32" s="147">
        <v>0</v>
      </c>
      <c r="D32" s="147"/>
      <c r="E32" s="147"/>
      <c r="F32" s="147"/>
      <c r="G32" s="147"/>
      <c r="H32" s="147"/>
      <c r="I32" s="147"/>
      <c r="J32" s="147">
        <f t="shared" si="6"/>
        <v>0</v>
      </c>
      <c r="K32" s="226"/>
    </row>
    <row r="33" spans="2:12" x14ac:dyDescent="0.3">
      <c r="B33" s="25" t="s">
        <v>23</v>
      </c>
      <c r="C33" s="147">
        <v>0</v>
      </c>
      <c r="D33" s="147"/>
      <c r="E33" s="147"/>
      <c r="F33" s="147"/>
      <c r="G33" s="147"/>
      <c r="H33" s="147"/>
      <c r="I33" s="147"/>
      <c r="J33" s="147">
        <f t="shared" si="6"/>
        <v>0</v>
      </c>
      <c r="K33" s="225"/>
    </row>
    <row r="34" spans="2:12" x14ac:dyDescent="0.3">
      <c r="B34" s="30" t="s">
        <v>24</v>
      </c>
      <c r="C34" s="147">
        <v>0</v>
      </c>
      <c r="D34" s="147"/>
      <c r="E34" s="147"/>
      <c r="F34" s="147"/>
      <c r="G34" s="147"/>
      <c r="H34" s="147"/>
      <c r="I34" s="147"/>
      <c r="J34" s="147">
        <f t="shared" si="6"/>
        <v>0</v>
      </c>
      <c r="K34" s="225"/>
    </row>
    <row r="35" spans="2:12" x14ac:dyDescent="0.3">
      <c r="B35" s="30" t="s">
        <v>25</v>
      </c>
      <c r="C35" s="147">
        <v>0</v>
      </c>
      <c r="D35" s="147"/>
      <c r="E35" s="147"/>
      <c r="F35" s="147"/>
      <c r="G35" s="147"/>
      <c r="H35" s="147"/>
      <c r="I35" s="147"/>
      <c r="J35" s="147">
        <f t="shared" si="6"/>
        <v>0</v>
      </c>
      <c r="K35" s="225"/>
    </row>
    <row r="36" spans="2:12" x14ac:dyDescent="0.3">
      <c r="B36" s="30" t="s">
        <v>26</v>
      </c>
      <c r="C36" s="147">
        <v>0</v>
      </c>
      <c r="D36" s="147"/>
      <c r="E36" s="147"/>
      <c r="F36" s="147"/>
      <c r="G36" s="147"/>
      <c r="H36" s="147"/>
      <c r="I36" s="147"/>
      <c r="J36" s="147">
        <f t="shared" si="6"/>
        <v>0</v>
      </c>
      <c r="K36" s="225"/>
    </row>
    <row r="37" spans="2:12" x14ac:dyDescent="0.3">
      <c r="B37" s="31" t="s">
        <v>27</v>
      </c>
      <c r="C37" s="149">
        <f>SUM(C29:C36)</f>
        <v>11</v>
      </c>
      <c r="D37" s="149">
        <f>SUM(D29:D36)</f>
        <v>0</v>
      </c>
      <c r="E37" s="149">
        <f>SUM(E29:E36)</f>
        <v>1.5</v>
      </c>
      <c r="F37" s="149">
        <f>SUM(F29:F36)</f>
        <v>0</v>
      </c>
      <c r="G37" s="149"/>
      <c r="H37" s="149">
        <f>SUM(H29:H36)</f>
        <v>0</v>
      </c>
      <c r="I37" s="149">
        <f>SUM(I29:I36)</f>
        <v>0</v>
      </c>
      <c r="J37" s="149">
        <f>SUM(J29:J36)</f>
        <v>12.5</v>
      </c>
      <c r="K37" s="231"/>
      <c r="L37" s="221"/>
    </row>
    <row r="38" spans="2:12" x14ac:dyDescent="0.3">
      <c r="B38" s="33"/>
      <c r="C38" s="143"/>
      <c r="D38" s="143"/>
      <c r="E38" s="143"/>
      <c r="F38" s="143"/>
      <c r="G38" s="143"/>
      <c r="H38" s="143"/>
      <c r="I38" s="143"/>
      <c r="J38" s="143"/>
      <c r="K38" s="225"/>
    </row>
    <row r="39" spans="2:12" x14ac:dyDescent="0.3">
      <c r="B39" s="19" t="s">
        <v>28</v>
      </c>
      <c r="C39" s="150" t="str">
        <f t="shared" ref="C39:J39" si="7">C1</f>
        <v>Operating</v>
      </c>
      <c r="D39" s="150" t="str">
        <f t="shared" si="7"/>
        <v>Weights</v>
      </c>
      <c r="E39" s="150" t="str">
        <f t="shared" si="7"/>
        <v>SPED</v>
      </c>
      <c r="F39" s="150" t="str">
        <f t="shared" si="7"/>
        <v>NSLP</v>
      </c>
      <c r="G39" s="150" t="str">
        <f t="shared" si="7"/>
        <v>CSP</v>
      </c>
      <c r="H39" s="150" t="str">
        <f t="shared" si="7"/>
        <v>Title I</v>
      </c>
      <c r="I39" s="150" t="str">
        <f t="shared" si="7"/>
        <v>Title II</v>
      </c>
      <c r="J39" s="150" t="str">
        <f t="shared" si="7"/>
        <v>Total</v>
      </c>
      <c r="K39" s="230"/>
    </row>
    <row r="40" spans="2:12" hidden="1" x14ac:dyDescent="0.3">
      <c r="B40" s="25" t="s">
        <v>29</v>
      </c>
      <c r="C40" s="151">
        <v>0</v>
      </c>
      <c r="D40" s="151">
        <v>0</v>
      </c>
      <c r="E40" s="151">
        <v>0</v>
      </c>
      <c r="F40" s="151">
        <v>0</v>
      </c>
      <c r="G40" s="151"/>
      <c r="H40" s="151">
        <v>0</v>
      </c>
      <c r="I40" s="151"/>
      <c r="J40" s="151">
        <v>0</v>
      </c>
      <c r="K40" s="225"/>
    </row>
    <row r="41" spans="2:12" x14ac:dyDescent="0.3">
      <c r="B41" s="25" t="s">
        <v>30</v>
      </c>
      <c r="C41" s="147">
        <v>1</v>
      </c>
      <c r="D41" s="147"/>
      <c r="E41" s="147"/>
      <c r="F41" s="147"/>
      <c r="G41" s="147"/>
      <c r="H41" s="147"/>
      <c r="I41" s="147"/>
      <c r="J41" s="147">
        <f t="shared" ref="J41:J59" si="8">SUM(C41:I41)</f>
        <v>1</v>
      </c>
      <c r="K41" s="225"/>
    </row>
    <row r="42" spans="2:12" x14ac:dyDescent="0.3">
      <c r="B42" s="25" t="s">
        <v>31</v>
      </c>
      <c r="C42" s="147">
        <v>0</v>
      </c>
      <c r="D42" s="147"/>
      <c r="E42" s="147"/>
      <c r="F42" s="147"/>
      <c r="G42" s="147"/>
      <c r="H42" s="147"/>
      <c r="I42" s="147"/>
      <c r="J42" s="147">
        <f t="shared" si="8"/>
        <v>0</v>
      </c>
      <c r="K42" s="225"/>
    </row>
    <row r="43" spans="2:12" x14ac:dyDescent="0.3">
      <c r="B43" s="25" t="s">
        <v>413</v>
      </c>
      <c r="C43" s="147">
        <v>0</v>
      </c>
      <c r="D43" s="147">
        <v>0</v>
      </c>
      <c r="E43" s="147"/>
      <c r="F43" s="147"/>
      <c r="G43" s="147">
        <v>1</v>
      </c>
      <c r="H43" s="147"/>
      <c r="I43" s="147"/>
      <c r="J43" s="147">
        <f t="shared" si="8"/>
        <v>1</v>
      </c>
      <c r="K43" s="225"/>
    </row>
    <row r="44" spans="2:12" x14ac:dyDescent="0.3">
      <c r="B44" s="36" t="s">
        <v>412</v>
      </c>
      <c r="C44" s="147">
        <v>0</v>
      </c>
      <c r="D44" s="147">
        <v>0</v>
      </c>
      <c r="E44" s="147"/>
      <c r="F44" s="147"/>
      <c r="G44" s="147"/>
      <c r="H44" s="147"/>
      <c r="I44" s="147"/>
      <c r="J44" s="147">
        <f t="shared" si="8"/>
        <v>0</v>
      </c>
      <c r="K44" s="225"/>
    </row>
    <row r="45" spans="2:12" x14ac:dyDescent="0.3">
      <c r="B45" s="36" t="s">
        <v>415</v>
      </c>
      <c r="C45" s="147">
        <v>0</v>
      </c>
      <c r="D45" s="147">
        <v>1</v>
      </c>
      <c r="E45" s="147"/>
      <c r="F45" s="147"/>
      <c r="G45" s="147"/>
      <c r="H45" s="147"/>
      <c r="I45" s="147"/>
      <c r="J45" s="147">
        <f t="shared" si="8"/>
        <v>1</v>
      </c>
      <c r="K45" s="225"/>
    </row>
    <row r="46" spans="2:12" x14ac:dyDescent="0.3">
      <c r="B46" s="25" t="s">
        <v>32</v>
      </c>
      <c r="C46" s="147">
        <v>1</v>
      </c>
      <c r="D46" s="147"/>
      <c r="E46" s="147"/>
      <c r="F46" s="147"/>
      <c r="G46" s="147"/>
      <c r="H46" s="147"/>
      <c r="I46" s="147"/>
      <c r="J46" s="147">
        <f t="shared" si="8"/>
        <v>1</v>
      </c>
      <c r="K46" s="225"/>
    </row>
    <row r="47" spans="2:12" x14ac:dyDescent="0.3">
      <c r="B47" s="25" t="s">
        <v>33</v>
      </c>
      <c r="C47" s="148">
        <v>0</v>
      </c>
      <c r="D47" s="147"/>
      <c r="E47" s="147"/>
      <c r="F47" s="147"/>
      <c r="G47" s="147"/>
      <c r="H47" s="147"/>
      <c r="I47" s="147"/>
      <c r="J47" s="147">
        <f t="shared" si="8"/>
        <v>0</v>
      </c>
      <c r="K47" s="225"/>
    </row>
    <row r="48" spans="2:12" x14ac:dyDescent="0.3">
      <c r="B48" s="25" t="s">
        <v>34</v>
      </c>
      <c r="C48" s="147">
        <v>0</v>
      </c>
      <c r="D48" s="147"/>
      <c r="E48" s="147"/>
      <c r="F48" s="147"/>
      <c r="G48" s="147"/>
      <c r="H48" s="147"/>
      <c r="I48" s="147"/>
      <c r="J48" s="147">
        <f t="shared" si="8"/>
        <v>0</v>
      </c>
      <c r="K48" s="225"/>
    </row>
    <row r="49" spans="2:15" x14ac:dyDescent="0.3">
      <c r="B49" s="25" t="s">
        <v>35</v>
      </c>
      <c r="C49" s="147">
        <v>1</v>
      </c>
      <c r="D49" s="147"/>
      <c r="E49" s="147"/>
      <c r="F49" s="147"/>
      <c r="G49" s="147"/>
      <c r="H49" s="147"/>
      <c r="I49" s="147"/>
      <c r="J49" s="147">
        <f t="shared" si="8"/>
        <v>1</v>
      </c>
      <c r="K49" s="225"/>
    </row>
    <row r="50" spans="2:15" x14ac:dyDescent="0.3">
      <c r="B50" s="25" t="s">
        <v>427</v>
      </c>
      <c r="C50" s="147">
        <v>0</v>
      </c>
      <c r="D50" s="147">
        <v>0</v>
      </c>
      <c r="E50" s="147">
        <v>0</v>
      </c>
      <c r="F50" s="147"/>
      <c r="G50" s="147"/>
      <c r="H50" s="147">
        <v>3</v>
      </c>
      <c r="I50" s="147"/>
      <c r="J50" s="147">
        <f t="shared" si="8"/>
        <v>3</v>
      </c>
      <c r="K50" s="225"/>
      <c r="L50" s="221"/>
      <c r="M50" s="221"/>
      <c r="N50" s="221"/>
      <c r="O50" s="221"/>
    </row>
    <row r="51" spans="2:15" x14ac:dyDescent="0.3">
      <c r="B51" s="488" t="s">
        <v>458</v>
      </c>
      <c r="C51" s="148">
        <v>1</v>
      </c>
      <c r="D51" s="147"/>
      <c r="E51" s="147"/>
      <c r="F51" s="147"/>
      <c r="G51" s="147"/>
      <c r="H51" s="147"/>
      <c r="I51" s="147"/>
      <c r="J51" s="147">
        <f t="shared" si="8"/>
        <v>1</v>
      </c>
      <c r="K51" s="225"/>
    </row>
    <row r="52" spans="2:15" x14ac:dyDescent="0.3">
      <c r="B52" s="25" t="s">
        <v>414</v>
      </c>
      <c r="C52" s="147">
        <v>0</v>
      </c>
      <c r="D52" s="147"/>
      <c r="E52" s="147"/>
      <c r="F52" s="147">
        <v>1</v>
      </c>
      <c r="G52" s="147"/>
      <c r="H52" s="147"/>
      <c r="I52" s="147"/>
      <c r="J52" s="147">
        <f t="shared" si="8"/>
        <v>1</v>
      </c>
      <c r="K52" s="225"/>
    </row>
    <row r="53" spans="2:15" x14ac:dyDescent="0.3">
      <c r="B53" s="37" t="s">
        <v>37</v>
      </c>
      <c r="C53" s="147">
        <v>0</v>
      </c>
      <c r="D53" s="147"/>
      <c r="E53" s="147"/>
      <c r="F53" s="147"/>
      <c r="G53" s="147"/>
      <c r="H53" s="147"/>
      <c r="I53" s="147"/>
      <c r="J53" s="147">
        <f t="shared" si="8"/>
        <v>0</v>
      </c>
      <c r="K53" s="225"/>
    </row>
    <row r="54" spans="2:15" x14ac:dyDescent="0.3">
      <c r="B54" s="37" t="s">
        <v>38</v>
      </c>
      <c r="C54" s="147">
        <v>0</v>
      </c>
      <c r="D54" s="147"/>
      <c r="E54" s="147"/>
      <c r="F54" s="147"/>
      <c r="G54" s="147"/>
      <c r="H54" s="147"/>
      <c r="I54" s="147"/>
      <c r="J54" s="147">
        <f t="shared" si="8"/>
        <v>0</v>
      </c>
      <c r="K54" s="225"/>
    </row>
    <row r="55" spans="2:15" x14ac:dyDescent="0.3">
      <c r="B55" s="37" t="s">
        <v>39</v>
      </c>
      <c r="C55" s="147">
        <v>0</v>
      </c>
      <c r="D55" s="147"/>
      <c r="E55" s="147"/>
      <c r="F55" s="147"/>
      <c r="G55" s="147"/>
      <c r="H55" s="147"/>
      <c r="I55" s="147"/>
      <c r="J55" s="147">
        <f t="shared" si="8"/>
        <v>0</v>
      </c>
      <c r="K55" s="225"/>
    </row>
    <row r="56" spans="2:15" x14ac:dyDescent="0.3">
      <c r="B56" s="37" t="s">
        <v>40</v>
      </c>
      <c r="C56" s="147">
        <v>0</v>
      </c>
      <c r="D56" s="147"/>
      <c r="E56" s="147"/>
      <c r="F56" s="147"/>
      <c r="G56" s="147"/>
      <c r="H56" s="147"/>
      <c r="I56" s="147"/>
      <c r="J56" s="147">
        <f t="shared" si="8"/>
        <v>0</v>
      </c>
      <c r="K56" s="225"/>
    </row>
    <row r="57" spans="2:15" x14ac:dyDescent="0.3">
      <c r="B57" s="37" t="s">
        <v>70</v>
      </c>
      <c r="C57" s="147">
        <v>0</v>
      </c>
      <c r="D57" s="147"/>
      <c r="E57" s="147"/>
      <c r="F57" s="147"/>
      <c r="G57" s="147"/>
      <c r="H57" s="147"/>
      <c r="I57" s="147"/>
      <c r="J57" s="147">
        <f t="shared" si="8"/>
        <v>0</v>
      </c>
      <c r="K57" s="231"/>
    </row>
    <row r="58" spans="2:15" x14ac:dyDescent="0.3">
      <c r="B58" s="37" t="s">
        <v>417</v>
      </c>
      <c r="C58" s="147">
        <v>0</v>
      </c>
      <c r="D58" s="147">
        <v>1</v>
      </c>
      <c r="E58" s="147"/>
      <c r="F58" s="147"/>
      <c r="G58" s="147"/>
      <c r="H58" s="147"/>
      <c r="I58" s="147"/>
      <c r="J58" s="147">
        <f t="shared" si="8"/>
        <v>1</v>
      </c>
      <c r="K58" s="225"/>
    </row>
    <row r="59" spans="2:15" x14ac:dyDescent="0.3">
      <c r="B59" s="39"/>
      <c r="C59" s="151"/>
      <c r="D59" s="151"/>
      <c r="E59" s="151"/>
      <c r="F59" s="151"/>
      <c r="G59" s="151"/>
      <c r="H59" s="151"/>
      <c r="I59" s="151"/>
      <c r="J59" s="147">
        <f t="shared" si="8"/>
        <v>0</v>
      </c>
      <c r="K59" s="225"/>
    </row>
    <row r="60" spans="2:15" x14ac:dyDescent="0.3">
      <c r="B60" s="31" t="s">
        <v>41</v>
      </c>
      <c r="C60" s="152">
        <f t="shared" ref="C60" si="9">SUM(C40:C59)</f>
        <v>4</v>
      </c>
      <c r="D60" s="152">
        <f>SUM(D40:D59)</f>
        <v>2</v>
      </c>
      <c r="E60" s="152">
        <f t="shared" ref="E60:J60" si="10">SUM(E40:E59)</f>
        <v>0</v>
      </c>
      <c r="F60" s="152">
        <f t="shared" si="10"/>
        <v>1</v>
      </c>
      <c r="G60" s="152"/>
      <c r="H60" s="152">
        <f t="shared" si="10"/>
        <v>3</v>
      </c>
      <c r="I60" s="152">
        <f t="shared" si="10"/>
        <v>0</v>
      </c>
      <c r="J60" s="152">
        <f t="shared" si="10"/>
        <v>11</v>
      </c>
      <c r="K60" s="231"/>
      <c r="L60" s="221"/>
    </row>
    <row r="61" spans="2:15" ht="15" thickBot="1" x14ac:dyDescent="0.35">
      <c r="B61" s="41"/>
      <c r="C61" s="153"/>
      <c r="D61" s="153"/>
      <c r="E61" s="153"/>
      <c r="F61" s="153"/>
      <c r="G61" s="153"/>
      <c r="H61" s="153"/>
      <c r="I61" s="153"/>
      <c r="J61" s="153"/>
      <c r="K61" s="225"/>
    </row>
    <row r="62" spans="2:15" x14ac:dyDescent="0.3">
      <c r="B62" s="43" t="s">
        <v>42</v>
      </c>
      <c r="C62" s="44">
        <f t="shared" ref="C62" si="11">C37</f>
        <v>11</v>
      </c>
      <c r="D62" s="44">
        <f>D37</f>
        <v>0</v>
      </c>
      <c r="E62" s="44">
        <f t="shared" ref="E62:J62" si="12">E37</f>
        <v>1.5</v>
      </c>
      <c r="F62" s="44">
        <f t="shared" si="12"/>
        <v>0</v>
      </c>
      <c r="G62" s="44"/>
      <c r="H62" s="44">
        <f t="shared" si="12"/>
        <v>0</v>
      </c>
      <c r="I62" s="44">
        <f t="shared" ref="I62" si="13">I37</f>
        <v>0</v>
      </c>
      <c r="J62" s="44">
        <f t="shared" si="12"/>
        <v>12.5</v>
      </c>
      <c r="K62" s="225"/>
    </row>
    <row r="63" spans="2:15" ht="15" thickBot="1" x14ac:dyDescent="0.35">
      <c r="B63" s="45" t="s">
        <v>43</v>
      </c>
      <c r="C63" s="46">
        <f t="shared" ref="C63" si="14">C60</f>
        <v>4</v>
      </c>
      <c r="D63" s="46">
        <f>D60</f>
        <v>2</v>
      </c>
      <c r="E63" s="46">
        <f t="shared" ref="E63:J63" si="15">E60</f>
        <v>0</v>
      </c>
      <c r="F63" s="46">
        <f t="shared" si="15"/>
        <v>1</v>
      </c>
      <c r="G63" s="46"/>
      <c r="H63" s="46">
        <f t="shared" si="15"/>
        <v>3</v>
      </c>
      <c r="I63" s="46">
        <f t="shared" ref="I63" si="16">I60</f>
        <v>0</v>
      </c>
      <c r="J63" s="46">
        <f t="shared" si="15"/>
        <v>11</v>
      </c>
      <c r="K63" s="225"/>
    </row>
    <row r="64" spans="2:15" ht="15" thickBot="1" x14ac:dyDescent="0.35">
      <c r="B64" s="47" t="s">
        <v>44</v>
      </c>
      <c r="C64" s="48">
        <f t="shared" ref="C64" si="17">SUM(C62:C63)</f>
        <v>15</v>
      </c>
      <c r="D64" s="48">
        <f>SUM(D62:D63)</f>
        <v>2</v>
      </c>
      <c r="E64" s="48">
        <f t="shared" ref="E64:J64" si="18">SUM(E62:E63)</f>
        <v>1.5</v>
      </c>
      <c r="F64" s="48">
        <f t="shared" si="18"/>
        <v>1</v>
      </c>
      <c r="G64" s="48"/>
      <c r="H64" s="48">
        <f t="shared" si="18"/>
        <v>3</v>
      </c>
      <c r="I64" s="48">
        <f t="shared" ref="I64" si="19">SUM(I62:I63)</f>
        <v>0</v>
      </c>
      <c r="J64" s="48">
        <f t="shared" si="18"/>
        <v>23.5</v>
      </c>
      <c r="K64" s="225"/>
    </row>
    <row r="65" spans="1:14" ht="15" thickBot="1" x14ac:dyDescent="0.35">
      <c r="B65" s="37"/>
      <c r="C65" s="154"/>
      <c r="D65" s="154"/>
      <c r="E65" s="154"/>
      <c r="F65" s="154"/>
      <c r="G65" s="154"/>
      <c r="H65" s="154"/>
      <c r="I65" s="154"/>
      <c r="J65" s="154"/>
      <c r="K65" s="225"/>
    </row>
    <row r="66" spans="1:14" x14ac:dyDescent="0.3">
      <c r="B66" s="127" t="s">
        <v>45</v>
      </c>
      <c r="C66" s="51"/>
      <c r="D66" s="432"/>
      <c r="E66" s="51"/>
      <c r="F66" s="51"/>
      <c r="G66" s="51"/>
      <c r="H66" s="51"/>
      <c r="I66" s="51"/>
      <c r="J66" s="432">
        <f>J135/(J203+J205+J206+J207+J208+J209)</f>
        <v>0.1988591538396246</v>
      </c>
      <c r="K66" s="225"/>
    </row>
    <row r="67" spans="1:14" x14ac:dyDescent="0.3">
      <c r="B67" s="33" t="s">
        <v>46</v>
      </c>
      <c r="C67" s="53"/>
      <c r="D67" s="433"/>
      <c r="E67" s="53"/>
      <c r="F67" s="53"/>
      <c r="G67" s="53"/>
      <c r="H67" s="53"/>
      <c r="I67" s="53"/>
      <c r="J67" s="433">
        <f t="shared" ref="J67" si="20">(J108+J109+J112+J123)/J128</f>
        <v>0.6372760836865855</v>
      </c>
      <c r="K67" s="225"/>
    </row>
    <row r="68" spans="1:14" x14ac:dyDescent="0.3">
      <c r="B68" s="128" t="s">
        <v>47</v>
      </c>
      <c r="C68" s="53"/>
      <c r="D68" s="433"/>
      <c r="E68" s="53"/>
      <c r="F68" s="53"/>
      <c r="G68" s="53"/>
      <c r="H68" s="53"/>
      <c r="I68" s="53"/>
      <c r="J68" s="433">
        <f t="shared" ref="J68" si="21">(J102+J103+J104+J107+J110+J111+J113+J114+J117+J118+J119+J120+J121+J122+J125+J126)/J128</f>
        <v>0.25788777975295135</v>
      </c>
      <c r="K68" s="225"/>
    </row>
    <row r="69" spans="1:14" ht="15" thickBot="1" x14ac:dyDescent="0.35">
      <c r="B69" s="129" t="s">
        <v>48</v>
      </c>
      <c r="C69" s="56"/>
      <c r="D69" s="434"/>
      <c r="E69" s="56"/>
      <c r="F69" s="56"/>
      <c r="G69" s="56"/>
      <c r="H69" s="56"/>
      <c r="I69" s="56"/>
      <c r="J69" s="434">
        <f>(J206+J207+J208+J209)/(J98-J87)</f>
        <v>5.5283325498675165E-2</v>
      </c>
      <c r="K69" s="225"/>
    </row>
    <row r="70" spans="1:14" s="62" customFormat="1" x14ac:dyDescent="0.3">
      <c r="A70" s="57"/>
      <c r="B70" s="58"/>
      <c r="C70" s="154"/>
      <c r="D70" s="154"/>
      <c r="E70" s="154"/>
      <c r="F70" s="154"/>
      <c r="G70" s="154"/>
      <c r="H70" s="154"/>
      <c r="I70" s="154"/>
      <c r="J70" s="154"/>
      <c r="K70" s="481">
        <f>K73-C73</f>
        <v>-43497.401999999769</v>
      </c>
    </row>
    <row r="71" spans="1:14" s="62" customFormat="1" x14ac:dyDescent="0.3">
      <c r="A71" s="57"/>
      <c r="C71" s="154"/>
      <c r="D71" s="154"/>
      <c r="E71" s="154"/>
      <c r="F71" s="154"/>
      <c r="G71" s="154"/>
      <c r="H71" s="154"/>
      <c r="I71" s="154"/>
      <c r="J71" s="154"/>
      <c r="K71" s="225"/>
    </row>
    <row r="72" spans="1:14" x14ac:dyDescent="0.3">
      <c r="A72" s="63"/>
      <c r="B72" s="130" t="s">
        <v>405</v>
      </c>
      <c r="C72" s="155" t="str">
        <f t="shared" ref="C72:J72" si="22">C1</f>
        <v>Operating</v>
      </c>
      <c r="D72" s="155" t="str">
        <f t="shared" si="22"/>
        <v>Weights</v>
      </c>
      <c r="E72" s="155" t="str">
        <f t="shared" si="22"/>
        <v>SPED</v>
      </c>
      <c r="F72" s="155" t="str">
        <f t="shared" si="22"/>
        <v>NSLP</v>
      </c>
      <c r="G72" s="155" t="str">
        <f t="shared" si="22"/>
        <v>CSP</v>
      </c>
      <c r="H72" s="155" t="str">
        <f t="shared" si="22"/>
        <v>Title I</v>
      </c>
      <c r="I72" s="155" t="str">
        <f t="shared" si="22"/>
        <v>Title II</v>
      </c>
      <c r="J72" s="155" t="str">
        <f t="shared" si="22"/>
        <v>Total</v>
      </c>
      <c r="K72" s="232"/>
      <c r="L72" s="273" t="s">
        <v>221</v>
      </c>
      <c r="M72" s="273" t="s">
        <v>222</v>
      </c>
      <c r="N72" s="273" t="s">
        <v>223</v>
      </c>
    </row>
    <row r="73" spans="1:14" x14ac:dyDescent="0.3">
      <c r="A73" s="67">
        <v>3110</v>
      </c>
      <c r="B73" s="413" t="s">
        <v>339</v>
      </c>
      <c r="C73" s="156">
        <f>(C2*C5)</f>
        <v>2216397.4019999998</v>
      </c>
      <c r="D73" s="156"/>
      <c r="E73" s="156"/>
      <c r="F73" s="156"/>
      <c r="G73" s="156"/>
      <c r="H73" s="156"/>
      <c r="I73" s="156"/>
      <c r="J73" s="143">
        <f t="shared" ref="J73:J84" si="23">SUM(C73:I73)</f>
        <v>2216397.4019999998</v>
      </c>
      <c r="K73" s="480">
        <f>C5*7243</f>
        <v>2172900</v>
      </c>
      <c r="L73" s="219">
        <v>200</v>
      </c>
      <c r="M73" s="219">
        <v>280</v>
      </c>
      <c r="N73" s="219">
        <v>364</v>
      </c>
    </row>
    <row r="74" spans="1:14" x14ac:dyDescent="0.3">
      <c r="A74" s="67">
        <v>4500</v>
      </c>
      <c r="B74" s="409" t="s">
        <v>331</v>
      </c>
      <c r="C74" s="143"/>
      <c r="D74" s="143"/>
      <c r="E74" s="143"/>
      <c r="F74" s="143">
        <f>(C19*F25)*3.5*180+((C19*F25)*1.84*180)</f>
        <v>247989.6</v>
      </c>
      <c r="G74" s="143"/>
      <c r="H74" s="143"/>
      <c r="I74" s="143"/>
      <c r="J74" s="143">
        <f t="shared" si="23"/>
        <v>247989.6</v>
      </c>
      <c r="K74" s="234"/>
      <c r="L74" s="272">
        <v>91981</v>
      </c>
      <c r="M74" s="272">
        <v>89741.34</v>
      </c>
      <c r="N74" s="272">
        <f>233347-50000</f>
        <v>183347</v>
      </c>
    </row>
    <row r="75" spans="1:14" x14ac:dyDescent="0.3">
      <c r="A75" s="67">
        <v>4500</v>
      </c>
      <c r="B75" s="409" t="s">
        <v>330</v>
      </c>
      <c r="C75" s="143"/>
      <c r="D75" s="143"/>
      <c r="E75" s="143">
        <f>950*'22-23'!E22</f>
        <v>12540</v>
      </c>
      <c r="F75" s="143"/>
      <c r="G75" s="143"/>
      <c r="H75" s="143"/>
      <c r="I75" s="143"/>
      <c r="J75" s="143">
        <f t="shared" si="23"/>
        <v>12540</v>
      </c>
      <c r="K75" s="235"/>
      <c r="M75" s="274"/>
    </row>
    <row r="76" spans="1:14" x14ac:dyDescent="0.3">
      <c r="A76" s="74">
        <v>3115</v>
      </c>
      <c r="B76" s="410" t="s">
        <v>51</v>
      </c>
      <c r="C76" s="153"/>
      <c r="D76" s="153"/>
      <c r="E76" s="153">
        <f>2755*'22-23'!E22</f>
        <v>36366</v>
      </c>
      <c r="F76" s="153"/>
      <c r="G76" s="153"/>
      <c r="H76" s="153"/>
      <c r="I76" s="153"/>
      <c r="J76" s="143">
        <f t="shared" si="23"/>
        <v>36366</v>
      </c>
      <c r="K76" s="235"/>
    </row>
    <row r="77" spans="1:14" x14ac:dyDescent="0.3">
      <c r="A77" s="74"/>
      <c r="B77" s="410" t="s">
        <v>384</v>
      </c>
      <c r="C77" s="153"/>
      <c r="D77" s="153"/>
      <c r="E77" s="153"/>
      <c r="F77" s="153"/>
      <c r="G77" s="153"/>
      <c r="H77" s="153">
        <f>((C19*F25)*0.9)*400</f>
        <v>92880</v>
      </c>
      <c r="I77" s="153"/>
      <c r="J77" s="143">
        <f t="shared" si="23"/>
        <v>92880</v>
      </c>
      <c r="K77" s="235"/>
    </row>
    <row r="78" spans="1:14" x14ac:dyDescent="0.3">
      <c r="A78" s="74"/>
      <c r="B78" s="410" t="s">
        <v>390</v>
      </c>
      <c r="C78" s="153"/>
      <c r="D78" s="153"/>
      <c r="E78" s="153"/>
      <c r="F78" s="153"/>
      <c r="G78" s="153"/>
      <c r="H78" s="153">
        <v>0</v>
      </c>
      <c r="I78" s="153">
        <f>'22-23'!C19*85</f>
        <v>9350</v>
      </c>
      <c r="J78" s="143">
        <f t="shared" si="23"/>
        <v>9350</v>
      </c>
      <c r="K78" s="235"/>
    </row>
    <row r="79" spans="1:14" x14ac:dyDescent="0.3">
      <c r="A79" s="74"/>
      <c r="B79" s="409" t="s">
        <v>416</v>
      </c>
      <c r="C79" s="153"/>
      <c r="D79" s="153">
        <f>1635.98*'22-23'!D23</f>
        <v>37791.137999999999</v>
      </c>
      <c r="E79" s="153"/>
      <c r="F79" s="153"/>
      <c r="G79" s="153"/>
      <c r="H79" s="153"/>
      <c r="I79" s="153"/>
      <c r="J79" s="143">
        <f t="shared" si="23"/>
        <v>37791.137999999999</v>
      </c>
      <c r="K79" s="235"/>
      <c r="L79" s="414">
        <f>7074*0.23</f>
        <v>1627.02</v>
      </c>
      <c r="M79" s="219" t="s">
        <v>342</v>
      </c>
    </row>
    <row r="80" spans="1:14" x14ac:dyDescent="0.3">
      <c r="A80" s="67">
        <v>3200</v>
      </c>
      <c r="B80" s="409" t="s">
        <v>332</v>
      </c>
      <c r="C80" s="143"/>
      <c r="D80" s="143"/>
      <c r="E80" s="143"/>
      <c r="F80" s="143"/>
      <c r="G80" s="143"/>
      <c r="H80" s="143"/>
      <c r="I80" s="143"/>
      <c r="J80" s="143">
        <f t="shared" si="23"/>
        <v>0</v>
      </c>
      <c r="K80" s="235"/>
      <c r="L80" s="414">
        <f>7074*0.12</f>
        <v>848.88</v>
      </c>
      <c r="M80" s="219" t="s">
        <v>343</v>
      </c>
    </row>
    <row r="81" spans="1:14" x14ac:dyDescent="0.3">
      <c r="A81" s="67"/>
      <c r="B81" s="409" t="s">
        <v>334</v>
      </c>
      <c r="C81" s="143"/>
      <c r="D81" s="143">
        <f>'22-23'!D26*247.07</f>
        <v>15659.79074</v>
      </c>
      <c r="E81" s="143"/>
      <c r="F81" s="143"/>
      <c r="G81" s="143"/>
      <c r="H81" s="143"/>
      <c r="I81" s="143"/>
      <c r="J81" s="143">
        <f t="shared" si="23"/>
        <v>15659.79074</v>
      </c>
      <c r="K81" s="225"/>
      <c r="L81" s="414">
        <f>7074*0.03</f>
        <v>212.22</v>
      </c>
      <c r="M81" s="274" t="s">
        <v>344</v>
      </c>
      <c r="N81" s="274"/>
    </row>
    <row r="82" spans="1:14" x14ac:dyDescent="0.3">
      <c r="A82" s="67"/>
      <c r="B82" s="71" t="s">
        <v>456</v>
      </c>
      <c r="C82" s="143"/>
      <c r="D82" s="143"/>
      <c r="E82" s="143"/>
      <c r="F82" s="143"/>
      <c r="G82" s="143">
        <v>292311.2</v>
      </c>
      <c r="H82" s="143"/>
      <c r="I82" s="143"/>
      <c r="J82" s="143">
        <f t="shared" si="23"/>
        <v>292311.2</v>
      </c>
      <c r="K82" s="225"/>
      <c r="L82" s="274"/>
      <c r="M82" s="274"/>
      <c r="N82" s="274"/>
    </row>
    <row r="83" spans="1:14" x14ac:dyDescent="0.3">
      <c r="A83" s="67"/>
      <c r="B83" s="542" t="s">
        <v>454</v>
      </c>
      <c r="C83" s="543">
        <v>0</v>
      </c>
      <c r="D83" s="543"/>
      <c r="E83" s="543"/>
      <c r="F83" s="543"/>
      <c r="G83" s="543"/>
      <c r="H83" s="543"/>
      <c r="I83" s="543"/>
      <c r="J83" s="543">
        <f t="shared" si="23"/>
        <v>0</v>
      </c>
      <c r="K83" s="225"/>
      <c r="L83" s="274"/>
      <c r="M83" s="274"/>
      <c r="N83" s="274"/>
    </row>
    <row r="84" spans="1:14" ht="15" thickBot="1" x14ac:dyDescent="0.35">
      <c r="A84" s="67"/>
      <c r="B84" s="82" t="s">
        <v>428</v>
      </c>
      <c r="C84" s="143">
        <v>0</v>
      </c>
      <c r="D84" s="143"/>
      <c r="E84" s="143"/>
      <c r="F84" s="143"/>
      <c r="G84" s="143"/>
      <c r="H84" s="143"/>
      <c r="I84" s="143"/>
      <c r="J84" s="143">
        <f t="shared" si="23"/>
        <v>0</v>
      </c>
      <c r="K84" s="431"/>
      <c r="L84" s="167"/>
    </row>
    <row r="85" spans="1:14" ht="15" thickBot="1" x14ac:dyDescent="0.35">
      <c r="A85" s="75"/>
      <c r="B85" s="131" t="s">
        <v>52</v>
      </c>
      <c r="C85" s="77">
        <f t="shared" ref="C85:J85" si="24">SUM(C73:C84)</f>
        <v>2216397.4019999998</v>
      </c>
      <c r="D85" s="77">
        <f t="shared" si="24"/>
        <v>53450.928740000003</v>
      </c>
      <c r="E85" s="77">
        <f t="shared" si="24"/>
        <v>48906</v>
      </c>
      <c r="F85" s="77">
        <f t="shared" si="24"/>
        <v>247989.6</v>
      </c>
      <c r="G85" s="77">
        <f t="shared" si="24"/>
        <v>292311.2</v>
      </c>
      <c r="H85" s="77">
        <f t="shared" si="24"/>
        <v>92880</v>
      </c>
      <c r="I85" s="77">
        <f t="shared" si="24"/>
        <v>9350</v>
      </c>
      <c r="J85" s="77">
        <f t="shared" si="24"/>
        <v>2961285.1307399999</v>
      </c>
      <c r="K85" s="225"/>
    </row>
    <row r="86" spans="1:14" hidden="1" x14ac:dyDescent="0.3">
      <c r="A86" s="78"/>
      <c r="B86" s="71" t="s">
        <v>53</v>
      </c>
      <c r="C86" s="157">
        <f>C2*C5</f>
        <v>2216397.4019999998</v>
      </c>
      <c r="D86" s="157"/>
      <c r="E86" s="157"/>
      <c r="F86" s="157"/>
      <c r="G86" s="157"/>
      <c r="H86" s="157"/>
      <c r="I86" s="157"/>
      <c r="J86" s="143">
        <f t="shared" ref="J86:J97" si="25">SUM(C86:I86)</f>
        <v>2216397.4019999998</v>
      </c>
      <c r="K86" s="231"/>
    </row>
    <row r="87" spans="1:14" hidden="1" x14ac:dyDescent="0.3">
      <c r="A87" s="67"/>
      <c r="B87" s="409" t="str">
        <f t="shared" ref="B87:C89" si="26">B74</f>
        <v>National School Lunch Program (NSLP)</v>
      </c>
      <c r="C87" s="143">
        <f t="shared" si="26"/>
        <v>0</v>
      </c>
      <c r="D87" s="143">
        <f t="shared" ref="D87:H87" si="27">D74</f>
        <v>0</v>
      </c>
      <c r="E87" s="143">
        <f t="shared" si="27"/>
        <v>0</v>
      </c>
      <c r="F87" s="143">
        <f t="shared" si="27"/>
        <v>247989.6</v>
      </c>
      <c r="G87" s="143">
        <f t="shared" ref="G87" si="28">G74</f>
        <v>0</v>
      </c>
      <c r="H87" s="143">
        <f t="shared" si="27"/>
        <v>0</v>
      </c>
      <c r="I87" s="143">
        <f>I74</f>
        <v>0</v>
      </c>
      <c r="J87" s="143">
        <f t="shared" si="25"/>
        <v>247989.6</v>
      </c>
      <c r="K87" s="225"/>
    </row>
    <row r="88" spans="1:14" hidden="1" x14ac:dyDescent="0.3">
      <c r="A88" s="67"/>
      <c r="B88" s="409" t="str">
        <f t="shared" si="26"/>
        <v>SPED Funding (Part B)</v>
      </c>
      <c r="C88" s="143">
        <f t="shared" si="26"/>
        <v>0</v>
      </c>
      <c r="D88" s="143">
        <f t="shared" ref="D88:I90" si="29">D75</f>
        <v>0</v>
      </c>
      <c r="E88" s="143">
        <f t="shared" si="29"/>
        <v>12540</v>
      </c>
      <c r="F88" s="143">
        <f t="shared" si="29"/>
        <v>0</v>
      </c>
      <c r="G88" s="143">
        <f t="shared" ref="G88" si="30">G75</f>
        <v>0</v>
      </c>
      <c r="H88" s="143">
        <f t="shared" si="29"/>
        <v>0</v>
      </c>
      <c r="I88" s="143">
        <f t="shared" si="29"/>
        <v>0</v>
      </c>
      <c r="J88" s="143">
        <f t="shared" si="25"/>
        <v>12540</v>
      </c>
      <c r="K88" s="225"/>
    </row>
    <row r="89" spans="1:14" hidden="1" x14ac:dyDescent="0.3">
      <c r="A89" s="74"/>
      <c r="B89" s="409" t="str">
        <f t="shared" si="26"/>
        <v>SPED Discretionary Unit</v>
      </c>
      <c r="C89" s="153">
        <f t="shared" si="26"/>
        <v>0</v>
      </c>
      <c r="D89" s="143">
        <f t="shared" si="29"/>
        <v>0</v>
      </c>
      <c r="E89" s="143">
        <f t="shared" si="29"/>
        <v>36366</v>
      </c>
      <c r="F89" s="143">
        <f t="shared" si="29"/>
        <v>0</v>
      </c>
      <c r="G89" s="143">
        <f t="shared" ref="G89" si="31">G76</f>
        <v>0</v>
      </c>
      <c r="H89" s="143">
        <f t="shared" si="29"/>
        <v>0</v>
      </c>
      <c r="I89" s="143">
        <f t="shared" si="29"/>
        <v>0</v>
      </c>
      <c r="J89" s="143">
        <f t="shared" si="25"/>
        <v>36366</v>
      </c>
      <c r="K89" s="225"/>
    </row>
    <row r="90" spans="1:14" hidden="1" x14ac:dyDescent="0.3">
      <c r="A90" s="74"/>
      <c r="B90" s="409" t="s">
        <v>384</v>
      </c>
      <c r="C90" s="153"/>
      <c r="D90" s="143">
        <f t="shared" si="29"/>
        <v>0</v>
      </c>
      <c r="E90" s="143">
        <f t="shared" si="29"/>
        <v>0</v>
      </c>
      <c r="F90" s="143">
        <f t="shared" si="29"/>
        <v>0</v>
      </c>
      <c r="G90" s="143">
        <f t="shared" ref="G90" si="32">G77</f>
        <v>0</v>
      </c>
      <c r="H90" s="143">
        <f t="shared" si="29"/>
        <v>92880</v>
      </c>
      <c r="I90" s="143">
        <f t="shared" si="29"/>
        <v>0</v>
      </c>
      <c r="J90" s="143">
        <f t="shared" si="25"/>
        <v>92880</v>
      </c>
      <c r="K90" s="225"/>
    </row>
    <row r="91" spans="1:14" hidden="1" x14ac:dyDescent="0.3">
      <c r="A91" s="74"/>
      <c r="B91" s="410" t="s">
        <v>390</v>
      </c>
      <c r="C91" s="153"/>
      <c r="D91" s="143"/>
      <c r="E91" s="143"/>
      <c r="F91" s="143"/>
      <c r="G91" s="143"/>
      <c r="H91" s="143">
        <f t="shared" ref="H91:I97" si="33">H78</f>
        <v>0</v>
      </c>
      <c r="I91" s="143">
        <f t="shared" si="33"/>
        <v>9350</v>
      </c>
      <c r="J91" s="143">
        <f t="shared" si="25"/>
        <v>9350</v>
      </c>
      <c r="K91" s="225"/>
    </row>
    <row r="92" spans="1:14" hidden="1" x14ac:dyDescent="0.3">
      <c r="A92" s="67"/>
      <c r="B92" s="409" t="str">
        <f t="shared" ref="B92:F97" si="34">B79</f>
        <v>EL Weight</v>
      </c>
      <c r="C92" s="153">
        <f t="shared" si="34"/>
        <v>0</v>
      </c>
      <c r="D92" s="143">
        <f t="shared" si="34"/>
        <v>37791.137999999999</v>
      </c>
      <c r="E92" s="143">
        <f t="shared" si="34"/>
        <v>0</v>
      </c>
      <c r="F92" s="143">
        <f t="shared" si="34"/>
        <v>0</v>
      </c>
      <c r="G92" s="143">
        <f t="shared" ref="G92" si="35">G79</f>
        <v>0</v>
      </c>
      <c r="H92" s="143">
        <f t="shared" si="33"/>
        <v>0</v>
      </c>
      <c r="I92" s="143">
        <f t="shared" si="33"/>
        <v>0</v>
      </c>
      <c r="J92" s="143">
        <f t="shared" si="25"/>
        <v>37791.137999999999</v>
      </c>
      <c r="K92" s="225"/>
    </row>
    <row r="93" spans="1:14" hidden="1" x14ac:dyDescent="0.3">
      <c r="A93" s="67"/>
      <c r="B93" s="409" t="str">
        <f t="shared" si="34"/>
        <v>Gifted and Talented Education (GATE) Weight</v>
      </c>
      <c r="C93" s="153">
        <f t="shared" si="34"/>
        <v>0</v>
      </c>
      <c r="D93" s="143">
        <f t="shared" si="34"/>
        <v>0</v>
      </c>
      <c r="E93" s="143">
        <f t="shared" si="34"/>
        <v>0</v>
      </c>
      <c r="F93" s="143">
        <f t="shared" si="34"/>
        <v>0</v>
      </c>
      <c r="G93" s="143">
        <f t="shared" ref="G93" si="36">G80</f>
        <v>0</v>
      </c>
      <c r="H93" s="143">
        <f t="shared" si="33"/>
        <v>0</v>
      </c>
      <c r="I93" s="143">
        <f t="shared" si="33"/>
        <v>0</v>
      </c>
      <c r="J93" s="143">
        <f t="shared" si="25"/>
        <v>0</v>
      </c>
      <c r="K93" s="225"/>
    </row>
    <row r="94" spans="1:14" hidden="1" x14ac:dyDescent="0.3">
      <c r="A94" s="67"/>
      <c r="B94" s="409" t="str">
        <f t="shared" si="34"/>
        <v>At-Risk Weight</v>
      </c>
      <c r="C94" s="153">
        <f t="shared" si="34"/>
        <v>0</v>
      </c>
      <c r="D94" s="143">
        <f t="shared" si="34"/>
        <v>15659.79074</v>
      </c>
      <c r="E94" s="143">
        <f t="shared" si="34"/>
        <v>0</v>
      </c>
      <c r="F94" s="143">
        <f t="shared" si="34"/>
        <v>0</v>
      </c>
      <c r="G94" s="143">
        <f t="shared" ref="G94" si="37">G81</f>
        <v>0</v>
      </c>
      <c r="H94" s="143">
        <f t="shared" si="33"/>
        <v>0</v>
      </c>
      <c r="I94" s="143">
        <f t="shared" si="33"/>
        <v>0</v>
      </c>
      <c r="J94" s="143">
        <f t="shared" si="25"/>
        <v>15659.79074</v>
      </c>
      <c r="K94" s="225"/>
    </row>
    <row r="95" spans="1:14" hidden="1" x14ac:dyDescent="0.3">
      <c r="A95" s="67"/>
      <c r="B95" s="409" t="str">
        <f t="shared" si="34"/>
        <v>OTHER: Charter School Program (CSP) Grant</v>
      </c>
      <c r="C95" s="153">
        <f t="shared" si="34"/>
        <v>0</v>
      </c>
      <c r="D95" s="143">
        <f t="shared" si="34"/>
        <v>0</v>
      </c>
      <c r="E95" s="143">
        <f t="shared" si="34"/>
        <v>0</v>
      </c>
      <c r="F95" s="143">
        <f t="shared" si="34"/>
        <v>0</v>
      </c>
      <c r="G95" s="143">
        <f t="shared" ref="G95" si="38">G82</f>
        <v>292311.2</v>
      </c>
      <c r="H95" s="143">
        <f t="shared" si="33"/>
        <v>0</v>
      </c>
      <c r="I95" s="143">
        <f t="shared" si="33"/>
        <v>0</v>
      </c>
      <c r="J95" s="143">
        <f t="shared" si="25"/>
        <v>292311.2</v>
      </c>
      <c r="K95" s="225"/>
    </row>
    <row r="96" spans="1:14" hidden="1" x14ac:dyDescent="0.3">
      <c r="A96" s="67"/>
      <c r="B96" s="409" t="str">
        <f t="shared" si="34"/>
        <v>OTHER: Donation (Sands Corporation)</v>
      </c>
      <c r="C96" s="153">
        <f t="shared" si="34"/>
        <v>0</v>
      </c>
      <c r="D96" s="143">
        <f t="shared" si="34"/>
        <v>0</v>
      </c>
      <c r="E96" s="143">
        <f t="shared" si="34"/>
        <v>0</v>
      </c>
      <c r="F96" s="143">
        <f t="shared" si="34"/>
        <v>0</v>
      </c>
      <c r="G96" s="143">
        <f t="shared" ref="G96" si="39">G83</f>
        <v>0</v>
      </c>
      <c r="H96" s="143">
        <f t="shared" si="33"/>
        <v>0</v>
      </c>
      <c r="I96" s="143">
        <f t="shared" si="33"/>
        <v>0</v>
      </c>
      <c r="J96" s="143">
        <f t="shared" si="25"/>
        <v>0</v>
      </c>
      <c r="K96" s="225"/>
    </row>
    <row r="97" spans="1:16" hidden="1" x14ac:dyDescent="0.3">
      <c r="A97" s="67"/>
      <c r="B97" s="409" t="str">
        <f t="shared" si="34"/>
        <v>OTHER: Tenant Improvements Donation</v>
      </c>
      <c r="C97" s="153">
        <f t="shared" si="34"/>
        <v>0</v>
      </c>
      <c r="D97" s="143">
        <f t="shared" si="34"/>
        <v>0</v>
      </c>
      <c r="E97" s="143">
        <f t="shared" si="34"/>
        <v>0</v>
      </c>
      <c r="F97" s="143">
        <f t="shared" si="34"/>
        <v>0</v>
      </c>
      <c r="G97" s="143"/>
      <c r="H97" s="143">
        <f t="shared" si="33"/>
        <v>0</v>
      </c>
      <c r="I97" s="143">
        <f t="shared" si="33"/>
        <v>0</v>
      </c>
      <c r="J97" s="143">
        <f t="shared" si="25"/>
        <v>0</v>
      </c>
      <c r="K97" s="225"/>
    </row>
    <row r="98" spans="1:16" hidden="1" x14ac:dyDescent="0.3">
      <c r="A98" s="67"/>
      <c r="B98" s="132" t="s">
        <v>54</v>
      </c>
      <c r="C98" s="158">
        <f t="shared" ref="C98:J98" si="40">SUM(C86:C97)</f>
        <v>2216397.4019999998</v>
      </c>
      <c r="D98" s="158">
        <f t="shared" si="40"/>
        <v>53450.928740000003</v>
      </c>
      <c r="E98" s="158">
        <f t="shared" si="40"/>
        <v>48906</v>
      </c>
      <c r="F98" s="158">
        <f t="shared" si="40"/>
        <v>247989.6</v>
      </c>
      <c r="G98" s="158">
        <f t="shared" si="40"/>
        <v>292311.2</v>
      </c>
      <c r="H98" s="158">
        <f t="shared" si="40"/>
        <v>92880</v>
      </c>
      <c r="I98" s="158">
        <f t="shared" si="40"/>
        <v>9350</v>
      </c>
      <c r="J98" s="158">
        <f t="shared" si="40"/>
        <v>2961285.1307399999</v>
      </c>
      <c r="K98" s="225"/>
    </row>
    <row r="99" spans="1:16" s="62" customFormat="1" x14ac:dyDescent="0.3">
      <c r="A99" s="57"/>
      <c r="C99" s="154"/>
      <c r="D99" s="154"/>
      <c r="E99" s="154"/>
      <c r="F99" s="154"/>
      <c r="G99" s="154"/>
      <c r="H99" s="154"/>
      <c r="I99" s="154"/>
      <c r="J99" s="154"/>
      <c r="K99" s="225"/>
    </row>
    <row r="100" spans="1:16" s="62" customFormat="1" ht="15" thickBot="1" x14ac:dyDescent="0.35">
      <c r="A100" s="57"/>
      <c r="B100" s="510" t="s">
        <v>55</v>
      </c>
      <c r="C100" s="511" t="str">
        <f t="shared" ref="C100:J100" si="41">C1</f>
        <v>Operating</v>
      </c>
      <c r="D100" s="511" t="str">
        <f t="shared" si="41"/>
        <v>Weights</v>
      </c>
      <c r="E100" s="511" t="str">
        <f t="shared" si="41"/>
        <v>SPED</v>
      </c>
      <c r="F100" s="511" t="str">
        <f t="shared" si="41"/>
        <v>NSLP</v>
      </c>
      <c r="G100" s="511" t="str">
        <f t="shared" si="41"/>
        <v>CSP</v>
      </c>
      <c r="H100" s="511" t="str">
        <f t="shared" si="41"/>
        <v>Title I</v>
      </c>
      <c r="I100" s="511" t="str">
        <f t="shared" si="41"/>
        <v>Title II</v>
      </c>
      <c r="J100" s="511" t="str">
        <f t="shared" si="41"/>
        <v>Total</v>
      </c>
      <c r="K100" s="225"/>
    </row>
    <row r="101" spans="1:16" x14ac:dyDescent="0.3">
      <c r="A101" s="70"/>
      <c r="B101" s="133" t="s">
        <v>56</v>
      </c>
      <c r="C101" s="150"/>
      <c r="D101" s="150"/>
      <c r="E101" s="150"/>
      <c r="F101" s="150"/>
      <c r="G101" s="150"/>
      <c r="H101" s="150"/>
      <c r="I101" s="150"/>
      <c r="J101" s="150"/>
      <c r="K101" s="230"/>
    </row>
    <row r="102" spans="1:16" x14ac:dyDescent="0.3">
      <c r="A102" s="67">
        <v>104</v>
      </c>
      <c r="B102" s="71" t="s">
        <v>30</v>
      </c>
      <c r="C102" s="143">
        <f>'22-23'!C102*1.02</f>
        <v>102000</v>
      </c>
      <c r="D102" s="143"/>
      <c r="E102" s="143"/>
      <c r="F102" s="143"/>
      <c r="G102" s="143"/>
      <c r="H102" s="143"/>
      <c r="I102" s="143"/>
      <c r="J102" s="143">
        <f t="shared" ref="J102:J114" si="42">SUM(C102:I102)</f>
        <v>102000</v>
      </c>
      <c r="K102" s="225"/>
    </row>
    <row r="103" spans="1:16" x14ac:dyDescent="0.3">
      <c r="A103" s="67">
        <v>104</v>
      </c>
      <c r="B103" s="71" t="s">
        <v>57</v>
      </c>
      <c r="C103" s="143">
        <v>0</v>
      </c>
      <c r="D103" s="143"/>
      <c r="E103" s="143"/>
      <c r="F103" s="143"/>
      <c r="G103" s="143"/>
      <c r="H103" s="143"/>
      <c r="I103" s="143"/>
      <c r="J103" s="143">
        <f t="shared" si="42"/>
        <v>0</v>
      </c>
      <c r="K103" s="225"/>
    </row>
    <row r="104" spans="1:16" x14ac:dyDescent="0.3">
      <c r="A104" s="67">
        <v>105</v>
      </c>
      <c r="B104" s="71" t="s">
        <v>415</v>
      </c>
      <c r="C104" s="143">
        <f>'22-23'!C104*1.02</f>
        <v>0</v>
      </c>
      <c r="D104" s="143">
        <v>65000</v>
      </c>
      <c r="E104" s="143"/>
      <c r="F104" s="143"/>
      <c r="G104" s="143"/>
      <c r="H104" s="143"/>
      <c r="I104" s="143"/>
      <c r="J104" s="143">
        <f t="shared" si="42"/>
        <v>65000</v>
      </c>
      <c r="K104" s="225"/>
    </row>
    <row r="105" spans="1:16" x14ac:dyDescent="0.3">
      <c r="A105" s="67">
        <v>105</v>
      </c>
      <c r="B105" s="470" t="s">
        <v>417</v>
      </c>
      <c r="C105" s="143">
        <v>0</v>
      </c>
      <c r="D105" s="143">
        <v>50000</v>
      </c>
      <c r="E105" s="143"/>
      <c r="F105" s="143"/>
      <c r="G105" s="143"/>
      <c r="H105" s="143"/>
      <c r="I105" s="143"/>
      <c r="J105" s="143">
        <f t="shared" si="42"/>
        <v>50000</v>
      </c>
      <c r="K105" s="225"/>
    </row>
    <row r="106" spans="1:16" x14ac:dyDescent="0.3">
      <c r="A106" s="67">
        <v>105</v>
      </c>
      <c r="B106" s="471" t="s">
        <v>413</v>
      </c>
      <c r="C106" s="143">
        <f>'22-23'!C106*1.02</f>
        <v>0</v>
      </c>
      <c r="D106" s="143">
        <f>'22-23'!D106*1.02</f>
        <v>0</v>
      </c>
      <c r="E106" s="143">
        <f>'22-23'!E106*1.02</f>
        <v>0</v>
      </c>
      <c r="F106" s="143">
        <f>'22-23'!F106*1.02</f>
        <v>0</v>
      </c>
      <c r="G106" s="143">
        <v>65000</v>
      </c>
      <c r="H106" s="143"/>
      <c r="I106" s="143"/>
      <c r="J106" s="143">
        <f t="shared" si="42"/>
        <v>65000</v>
      </c>
      <c r="K106" s="225"/>
    </row>
    <row r="107" spans="1:16" x14ac:dyDescent="0.3">
      <c r="A107" s="67">
        <v>105</v>
      </c>
      <c r="B107" s="71" t="s">
        <v>425</v>
      </c>
      <c r="C107" s="143">
        <f>'22-23'!C107*1.02</f>
        <v>0</v>
      </c>
      <c r="D107" s="143">
        <f>'22-23'!D107*1.02</f>
        <v>0</v>
      </c>
      <c r="E107" s="143">
        <f>'22-23'!E107*1.02</f>
        <v>0</v>
      </c>
      <c r="F107" s="143">
        <f>'22-23'!F107*1.02</f>
        <v>0</v>
      </c>
      <c r="G107" s="143">
        <f>'22-23'!G107*1.02</f>
        <v>0</v>
      </c>
      <c r="H107" s="143"/>
      <c r="I107" s="143"/>
      <c r="J107" s="143">
        <f t="shared" si="42"/>
        <v>0</v>
      </c>
      <c r="K107" s="225"/>
      <c r="O107" s="250"/>
      <c r="P107" s="250"/>
    </row>
    <row r="108" spans="1:16" x14ac:dyDescent="0.3">
      <c r="A108" s="67" t="s">
        <v>58</v>
      </c>
      <c r="B108" s="71" t="s">
        <v>59</v>
      </c>
      <c r="C108" s="143">
        <f>(51000)*(C37-C30)</f>
        <v>561000</v>
      </c>
      <c r="D108" s="143"/>
      <c r="E108" s="143"/>
      <c r="F108" s="143"/>
      <c r="G108" s="143"/>
      <c r="H108" s="143"/>
      <c r="I108" s="143"/>
      <c r="J108" s="143">
        <f t="shared" si="42"/>
        <v>561000</v>
      </c>
      <c r="K108" s="226"/>
      <c r="L108" s="221">
        <f>50000</f>
        <v>50000</v>
      </c>
      <c r="M108" s="221">
        <f>L108*1.02</f>
        <v>51000</v>
      </c>
      <c r="N108" s="221"/>
      <c r="O108" s="221"/>
      <c r="P108" s="221"/>
    </row>
    <row r="109" spans="1:16" x14ac:dyDescent="0.3">
      <c r="A109" s="67">
        <v>101</v>
      </c>
      <c r="B109" s="71" t="s">
        <v>20</v>
      </c>
      <c r="C109" s="143">
        <f>(42500+750)*C30</f>
        <v>0</v>
      </c>
      <c r="D109" s="143">
        <f>(42500+750)*D30</f>
        <v>0</v>
      </c>
      <c r="E109" s="143">
        <f>(51000)*E30</f>
        <v>76500</v>
      </c>
      <c r="F109" s="143">
        <f>42500*F30</f>
        <v>0</v>
      </c>
      <c r="G109" s="143"/>
      <c r="H109" s="143">
        <f>42500*H30</f>
        <v>0</v>
      </c>
      <c r="I109" s="143"/>
      <c r="J109" s="143">
        <f t="shared" si="42"/>
        <v>76500</v>
      </c>
      <c r="K109" s="226"/>
      <c r="L109" s="364"/>
      <c r="M109" s="364"/>
      <c r="N109" s="364"/>
      <c r="O109" s="364"/>
      <c r="P109" s="364"/>
    </row>
    <row r="110" spans="1:16" x14ac:dyDescent="0.3">
      <c r="A110" s="67">
        <v>107</v>
      </c>
      <c r="B110" s="71" t="s">
        <v>60</v>
      </c>
      <c r="C110" s="143">
        <f>'22-23'!C110*1.02</f>
        <v>43860</v>
      </c>
      <c r="D110" s="143"/>
      <c r="E110" s="143"/>
      <c r="F110" s="143"/>
      <c r="G110" s="143"/>
      <c r="H110" s="143"/>
      <c r="I110" s="143"/>
      <c r="J110" s="143">
        <f t="shared" si="42"/>
        <v>43860</v>
      </c>
      <c r="K110" s="168"/>
    </row>
    <row r="111" spans="1:16" x14ac:dyDescent="0.3">
      <c r="A111" s="67">
        <v>107</v>
      </c>
      <c r="B111" s="71" t="s">
        <v>61</v>
      </c>
      <c r="C111" s="143">
        <f>(14.25*8*190)*(C48+C49)</f>
        <v>21660</v>
      </c>
      <c r="D111" s="143"/>
      <c r="E111" s="143"/>
      <c r="F111" s="143"/>
      <c r="G111" s="143"/>
      <c r="H111" s="143"/>
      <c r="I111" s="143"/>
      <c r="J111" s="143">
        <f t="shared" si="42"/>
        <v>21660</v>
      </c>
      <c r="K111" s="226"/>
      <c r="M111" s="221"/>
      <c r="N111" s="221"/>
      <c r="O111" s="221"/>
      <c r="P111" s="221"/>
    </row>
    <row r="112" spans="1:16" x14ac:dyDescent="0.3">
      <c r="A112" s="67">
        <v>102</v>
      </c>
      <c r="B112" s="71" t="s">
        <v>426</v>
      </c>
      <c r="C112" s="143">
        <f>(14.25*8*180)*C50</f>
        <v>0</v>
      </c>
      <c r="D112" s="143">
        <f>(14.25*8*180)*D50</f>
        <v>0</v>
      </c>
      <c r="E112" s="143">
        <f>(14.25*8*180)*E50</f>
        <v>0</v>
      </c>
      <c r="F112" s="143">
        <f t="shared" ref="F112" si="43">(12.75*8*180)*F50</f>
        <v>0</v>
      </c>
      <c r="G112" s="143"/>
      <c r="H112" s="143">
        <f>(14.25*8*180)*H50</f>
        <v>61560</v>
      </c>
      <c r="I112" s="143"/>
      <c r="J112" s="143">
        <f t="shared" si="42"/>
        <v>61560</v>
      </c>
      <c r="K112" s="226"/>
    </row>
    <row r="113" spans="1:16" x14ac:dyDescent="0.3">
      <c r="A113" s="67">
        <v>107</v>
      </c>
      <c r="B113" s="410" t="s">
        <v>457</v>
      </c>
      <c r="C113" s="143">
        <f>(15.25*8*240)*C51</f>
        <v>29280</v>
      </c>
      <c r="D113" s="143"/>
      <c r="E113" s="143"/>
      <c r="F113" s="143"/>
      <c r="G113" s="143"/>
      <c r="H113" s="143"/>
      <c r="I113" s="143"/>
      <c r="J113" s="143">
        <f t="shared" si="42"/>
        <v>29280</v>
      </c>
      <c r="K113" s="226"/>
    </row>
    <row r="114" spans="1:16" x14ac:dyDescent="0.3">
      <c r="A114" s="67">
        <v>107</v>
      </c>
      <c r="B114" s="71" t="s">
        <v>64</v>
      </c>
      <c r="C114" s="143"/>
      <c r="D114" s="143"/>
      <c r="E114" s="143"/>
      <c r="F114" s="143"/>
      <c r="G114" s="143"/>
      <c r="H114" s="143"/>
      <c r="I114" s="143"/>
      <c r="J114" s="143">
        <f t="shared" si="42"/>
        <v>0</v>
      </c>
      <c r="K114" s="226"/>
    </row>
    <row r="115" spans="1:16" ht="15" thickBot="1" x14ac:dyDescent="0.35">
      <c r="A115" s="63"/>
      <c r="B115" s="516" t="s">
        <v>443</v>
      </c>
      <c r="C115" s="517">
        <f>SUM(C102:C114)</f>
        <v>757800</v>
      </c>
      <c r="D115" s="517">
        <f t="shared" ref="D115:J115" si="44">SUM(D102:D114)</f>
        <v>115000</v>
      </c>
      <c r="E115" s="517">
        <f t="shared" si="44"/>
        <v>76500</v>
      </c>
      <c r="F115" s="517">
        <f t="shared" si="44"/>
        <v>0</v>
      </c>
      <c r="G115" s="517">
        <f t="shared" si="44"/>
        <v>65000</v>
      </c>
      <c r="H115" s="517">
        <f t="shared" si="44"/>
        <v>61560</v>
      </c>
      <c r="I115" s="518">
        <f t="shared" si="44"/>
        <v>0</v>
      </c>
      <c r="J115" s="519">
        <f t="shared" si="44"/>
        <v>1075860</v>
      </c>
      <c r="K115" s="236"/>
    </row>
    <row r="116" spans="1:16" x14ac:dyDescent="0.3">
      <c r="A116" s="70"/>
      <c r="B116" s="135" t="s">
        <v>66</v>
      </c>
      <c r="C116" s="150" t="str">
        <f t="shared" ref="C116:J116" si="45">C1</f>
        <v>Operating</v>
      </c>
      <c r="D116" s="150" t="str">
        <f t="shared" si="45"/>
        <v>Weights</v>
      </c>
      <c r="E116" s="150" t="str">
        <f t="shared" si="45"/>
        <v>SPED</v>
      </c>
      <c r="F116" s="150" t="str">
        <f t="shared" si="45"/>
        <v>NSLP</v>
      </c>
      <c r="G116" s="150" t="str">
        <f t="shared" si="45"/>
        <v>CSP</v>
      </c>
      <c r="H116" s="150" t="str">
        <f t="shared" si="45"/>
        <v>Title I</v>
      </c>
      <c r="I116" s="150" t="str">
        <f t="shared" si="45"/>
        <v>Title II</v>
      </c>
      <c r="J116" s="150" t="str">
        <f t="shared" si="45"/>
        <v>Total</v>
      </c>
      <c r="K116" s="230"/>
    </row>
    <row r="117" spans="1:16" hidden="1" x14ac:dyDescent="0.3">
      <c r="A117" s="67"/>
      <c r="B117" s="71" t="s">
        <v>67</v>
      </c>
      <c r="C117" s="143"/>
      <c r="D117" s="143"/>
      <c r="E117" s="143"/>
      <c r="F117" s="143"/>
      <c r="G117" s="143"/>
      <c r="H117" s="143"/>
      <c r="I117" s="143"/>
      <c r="J117" s="147">
        <f t="shared" ref="J117:J126" si="46">SUM(C117:I117)</f>
        <v>0</v>
      </c>
      <c r="K117" s="225"/>
    </row>
    <row r="118" spans="1:16" x14ac:dyDescent="0.3">
      <c r="A118" s="67"/>
      <c r="B118" s="71" t="s">
        <v>37</v>
      </c>
      <c r="C118" s="143"/>
      <c r="D118" s="143"/>
      <c r="E118" s="143"/>
      <c r="F118" s="143"/>
      <c r="G118" s="143"/>
      <c r="H118" s="143"/>
      <c r="I118" s="143"/>
      <c r="J118" s="147">
        <f t="shared" si="46"/>
        <v>0</v>
      </c>
      <c r="K118" s="225"/>
    </row>
    <row r="119" spans="1:16" x14ac:dyDescent="0.3">
      <c r="A119" s="67"/>
      <c r="B119" s="71" t="s">
        <v>38</v>
      </c>
      <c r="C119" s="143"/>
      <c r="D119" s="143"/>
      <c r="E119" s="143"/>
      <c r="F119" s="143"/>
      <c r="G119" s="143"/>
      <c r="H119" s="143"/>
      <c r="I119" s="143"/>
      <c r="J119" s="147">
        <f t="shared" si="46"/>
        <v>0</v>
      </c>
      <c r="K119" s="225"/>
    </row>
    <row r="120" spans="1:16" x14ac:dyDescent="0.3">
      <c r="A120" s="67"/>
      <c r="B120" s="71" t="s">
        <v>39</v>
      </c>
      <c r="C120" s="143"/>
      <c r="D120" s="143"/>
      <c r="E120" s="143"/>
      <c r="F120" s="143"/>
      <c r="G120" s="143"/>
      <c r="H120" s="143"/>
      <c r="I120" s="143"/>
      <c r="J120" s="147">
        <f t="shared" si="46"/>
        <v>0</v>
      </c>
      <c r="K120" s="225"/>
    </row>
    <row r="121" spans="1:16" x14ac:dyDescent="0.3">
      <c r="A121" s="67"/>
      <c r="B121" s="71" t="s">
        <v>40</v>
      </c>
      <c r="C121" s="143"/>
      <c r="D121" s="143"/>
      <c r="E121" s="143"/>
      <c r="F121" s="143"/>
      <c r="G121" s="143"/>
      <c r="H121" s="143"/>
      <c r="I121" s="143"/>
      <c r="J121" s="147">
        <f t="shared" si="46"/>
        <v>0</v>
      </c>
      <c r="K121" s="225"/>
    </row>
    <row r="122" spans="1:16" x14ac:dyDescent="0.3">
      <c r="A122" s="67"/>
      <c r="B122" s="71" t="s">
        <v>68</v>
      </c>
      <c r="C122" s="143"/>
      <c r="D122" s="143"/>
      <c r="E122" s="143"/>
      <c r="F122" s="143"/>
      <c r="G122" s="143"/>
      <c r="H122" s="143"/>
      <c r="I122" s="143"/>
      <c r="J122" s="147">
        <f t="shared" si="46"/>
        <v>0</v>
      </c>
      <c r="K122" s="225"/>
    </row>
    <row r="123" spans="1:16" x14ac:dyDescent="0.3">
      <c r="A123" s="67"/>
      <c r="B123" s="71" t="s">
        <v>50</v>
      </c>
      <c r="C123" s="143">
        <v>0</v>
      </c>
      <c r="D123" s="143"/>
      <c r="E123" s="143"/>
      <c r="F123" s="143"/>
      <c r="G123" s="143"/>
      <c r="H123" s="143"/>
      <c r="I123" s="143"/>
      <c r="J123" s="147">
        <f t="shared" si="46"/>
        <v>0</v>
      </c>
      <c r="K123" s="225"/>
    </row>
    <row r="124" spans="1:16" x14ac:dyDescent="0.3">
      <c r="A124" s="67"/>
      <c r="B124" s="410" t="s">
        <v>173</v>
      </c>
      <c r="C124" s="143"/>
      <c r="D124" s="143"/>
      <c r="E124" s="143"/>
      <c r="F124" s="143"/>
      <c r="G124" s="143"/>
      <c r="H124" s="143"/>
      <c r="I124" s="143"/>
      <c r="J124" s="147">
        <f t="shared" si="46"/>
        <v>0</v>
      </c>
      <c r="K124" s="225"/>
    </row>
    <row r="125" spans="1:16" x14ac:dyDescent="0.3">
      <c r="A125" s="67">
        <v>107</v>
      </c>
      <c r="B125" s="71" t="s">
        <v>69</v>
      </c>
      <c r="C125" s="143">
        <f>(12.75*6*185)*C52</f>
        <v>0</v>
      </c>
      <c r="D125" s="143">
        <f t="shared" ref="D125:E125" si="47">(12.5*6*185)*D52</f>
        <v>0</v>
      </c>
      <c r="E125" s="143">
        <f t="shared" si="47"/>
        <v>0</v>
      </c>
      <c r="F125" s="143">
        <f>(14.25*8*185)*F52</f>
        <v>21090</v>
      </c>
      <c r="G125" s="143"/>
      <c r="H125" s="143"/>
      <c r="I125" s="143"/>
      <c r="J125" s="143">
        <f t="shared" si="46"/>
        <v>21090</v>
      </c>
      <c r="K125" s="225"/>
    </row>
    <row r="126" spans="1:16" x14ac:dyDescent="0.3">
      <c r="A126" s="74"/>
      <c r="B126" s="71" t="s">
        <v>70</v>
      </c>
      <c r="C126" s="153">
        <v>0</v>
      </c>
      <c r="D126" s="143"/>
      <c r="E126" s="143"/>
      <c r="F126" s="143"/>
      <c r="G126" s="143"/>
      <c r="H126" s="143"/>
      <c r="I126" s="143"/>
      <c r="J126" s="147">
        <f t="shared" si="46"/>
        <v>0</v>
      </c>
      <c r="K126" s="225"/>
    </row>
    <row r="127" spans="1:16" ht="15" thickBot="1" x14ac:dyDescent="0.35">
      <c r="A127" s="63"/>
      <c r="B127" s="520" t="s">
        <v>444</v>
      </c>
      <c r="C127" s="519">
        <f>SUM(C117:C126)</f>
        <v>0</v>
      </c>
      <c r="D127" s="519">
        <f t="shared" ref="D127:J127" si="48">SUM(D117:D126)</f>
        <v>0</v>
      </c>
      <c r="E127" s="519">
        <f t="shared" si="48"/>
        <v>0</v>
      </c>
      <c r="F127" s="519">
        <f t="shared" si="48"/>
        <v>21090</v>
      </c>
      <c r="G127" s="519">
        <f t="shared" si="48"/>
        <v>0</v>
      </c>
      <c r="H127" s="519">
        <f t="shared" si="48"/>
        <v>0</v>
      </c>
      <c r="I127" s="519">
        <f t="shared" si="48"/>
        <v>0</v>
      </c>
      <c r="J127" s="519">
        <f t="shared" si="48"/>
        <v>21090</v>
      </c>
      <c r="K127" s="236"/>
    </row>
    <row r="128" spans="1:16" ht="15" thickBot="1" x14ac:dyDescent="0.35">
      <c r="A128" s="91"/>
      <c r="B128" s="521" t="s">
        <v>445</v>
      </c>
      <c r="C128" s="483">
        <f>C115+C127</f>
        <v>757800</v>
      </c>
      <c r="D128" s="483">
        <f t="shared" ref="D128:J128" si="49">D115+D127</f>
        <v>115000</v>
      </c>
      <c r="E128" s="483">
        <f t="shared" si="49"/>
        <v>76500</v>
      </c>
      <c r="F128" s="483">
        <f t="shared" si="49"/>
        <v>21090</v>
      </c>
      <c r="G128" s="483">
        <f t="shared" si="49"/>
        <v>65000</v>
      </c>
      <c r="H128" s="483">
        <f t="shared" si="49"/>
        <v>61560</v>
      </c>
      <c r="I128" s="483">
        <f t="shared" si="49"/>
        <v>0</v>
      </c>
      <c r="J128" s="483">
        <f t="shared" si="49"/>
        <v>1096950</v>
      </c>
      <c r="K128" s="225"/>
      <c r="L128" s="223">
        <f t="shared" ref="L128:P128" si="50">SUM(L129:L130)</f>
        <v>0.47249999999999998</v>
      </c>
      <c r="M128" s="223">
        <f t="shared" si="50"/>
        <v>0.47749999999999998</v>
      </c>
      <c r="N128" s="223">
        <f t="shared" si="50"/>
        <v>0.48249999999999998</v>
      </c>
      <c r="O128" s="223">
        <f t="shared" si="50"/>
        <v>0.48749999999999999</v>
      </c>
      <c r="P128" s="223">
        <f t="shared" si="50"/>
        <v>0.49249999999999999</v>
      </c>
    </row>
    <row r="129" spans="1:16" x14ac:dyDescent="0.3">
      <c r="A129" s="78">
        <v>230</v>
      </c>
      <c r="B129" s="71" t="s">
        <v>340</v>
      </c>
      <c r="C129" s="157">
        <f t="shared" ref="C129:I129" si="51">C128*0.2975</f>
        <v>225445.5</v>
      </c>
      <c r="D129" s="157">
        <f t="shared" si="51"/>
        <v>34212.5</v>
      </c>
      <c r="E129" s="157">
        <f t="shared" si="51"/>
        <v>22758.75</v>
      </c>
      <c r="F129" s="157">
        <f t="shared" si="51"/>
        <v>6274.2749999999996</v>
      </c>
      <c r="G129" s="157">
        <f t="shared" si="51"/>
        <v>19337.5</v>
      </c>
      <c r="H129" s="157">
        <f t="shared" si="51"/>
        <v>18314.099999999999</v>
      </c>
      <c r="I129" s="157">
        <f t="shared" si="51"/>
        <v>0</v>
      </c>
      <c r="J129" s="143">
        <f t="shared" ref="J129:J134" si="52">SUM(C129:I129)</f>
        <v>326342.625</v>
      </c>
      <c r="K129" s="225"/>
      <c r="L129" s="223">
        <v>0.29249999999999998</v>
      </c>
      <c r="M129" s="223">
        <f>L129</f>
        <v>0.29249999999999998</v>
      </c>
      <c r="N129" s="223">
        <f>M129</f>
        <v>0.29249999999999998</v>
      </c>
      <c r="O129" s="223">
        <f>N129</f>
        <v>0.29249999999999998</v>
      </c>
      <c r="P129" s="223">
        <f>O129</f>
        <v>0.29249999999999998</v>
      </c>
    </row>
    <row r="130" spans="1:16" x14ac:dyDescent="0.3">
      <c r="A130" s="94"/>
      <c r="B130" s="71" t="s">
        <v>73</v>
      </c>
      <c r="C130" s="143">
        <f>C128*0.185</f>
        <v>140193</v>
      </c>
      <c r="D130" s="143">
        <f t="shared" ref="D130:I130" si="53">D128*0.185</f>
        <v>21275</v>
      </c>
      <c r="E130" s="143">
        <f t="shared" si="53"/>
        <v>14152.5</v>
      </c>
      <c r="F130" s="143">
        <f t="shared" si="53"/>
        <v>3901.65</v>
      </c>
      <c r="G130" s="143">
        <f>24200-G129</f>
        <v>4862.5</v>
      </c>
      <c r="H130" s="143">
        <f>H128*0.145</f>
        <v>8926.1999999999989</v>
      </c>
      <c r="I130" s="143">
        <f t="shared" si="53"/>
        <v>0</v>
      </c>
      <c r="J130" s="143">
        <f t="shared" si="52"/>
        <v>193310.85</v>
      </c>
      <c r="K130" s="225"/>
      <c r="L130" s="223">
        <v>0.18</v>
      </c>
      <c r="M130" s="223">
        <f>L130+0.5%</f>
        <v>0.185</v>
      </c>
      <c r="N130" s="223">
        <f>M130+0.5%</f>
        <v>0.19</v>
      </c>
      <c r="O130" s="223">
        <f>N130+0.5%</f>
        <v>0.19500000000000001</v>
      </c>
      <c r="P130" s="223">
        <f>O130+0.5%</f>
        <v>0.2</v>
      </c>
    </row>
    <row r="131" spans="1:16" x14ac:dyDescent="0.3">
      <c r="A131" s="67">
        <v>150</v>
      </c>
      <c r="B131" s="71" t="s">
        <v>74</v>
      </c>
      <c r="C131" s="142">
        <f>((((2500*C41)+(125*C41))+((2000*C42)+(125*C42))+((1500*(C43+C44+C45))+(125*(C43+C44+C45)))+(1000*(C46+C47))+(125*(C46+C47))+((300*(C48+C49+C50+C51+C52)+(125*(C48+C49+C50+C51+C52)))+((1000*(C37+C53+C54+C55+C56+C58))+(125*(C37+C53+C54+C55+C56+C58))))+(125*3)+(1000*3))*0.93)-C132</f>
        <v>18925.5</v>
      </c>
      <c r="D131" s="142">
        <f t="shared" ref="D131:H131" si="54">((((2500*D41)+(125*D41))+((2000*D42)+(125*D42))+((1500*(D43+D44+D45))+(125*(D43+D44+D45)))+(1000*(D46+D47))+(125*(D46+D47))+((300*(D48+D49+D50+D51+D52)+(125*(D48+D49+D50+D51+D52)))+((1000*(D37+D53+D54+D55+D56+D58))+(125*(D37+D53+D54+D55+D56+D58))))+(125*3)+(1000*3))*0.93)-D132</f>
        <v>5696.25</v>
      </c>
      <c r="E131" s="142">
        <f>((((2500*E41)+(125*E41))+((2000*E42)+(125*E42))+((1500*(E43+E44+E45))+(125*(E43+E44+E45)))+(1000*(E46+E47))+(125*(E46+E47))+((300*(E48+E49+E50+E51+E52)+(125*(E48+E49+E50+E51+E52)))+((1000*(E37+E53+E54+E55+E56+E58))+(125*(E37+E53+E54+E55+E56+E58))))+(125*3)+(1000*3))*0.93)-E132</f>
        <v>4708.125</v>
      </c>
      <c r="F131" s="142">
        <f t="shared" si="54"/>
        <v>3534</v>
      </c>
      <c r="G131" s="142">
        <v>0</v>
      </c>
      <c r="H131" s="142">
        <f t="shared" si="54"/>
        <v>4324.5</v>
      </c>
      <c r="I131" s="142">
        <v>0</v>
      </c>
      <c r="J131" s="143">
        <f t="shared" si="52"/>
        <v>37188.375</v>
      </c>
      <c r="K131" s="225"/>
    </row>
    <row r="132" spans="1:16" x14ac:dyDescent="0.3">
      <c r="A132" s="67"/>
      <c r="B132" s="71" t="s">
        <v>75</v>
      </c>
      <c r="C132" s="143">
        <v>0</v>
      </c>
      <c r="D132" s="145"/>
      <c r="E132" s="145"/>
      <c r="F132" s="145"/>
      <c r="G132" s="145"/>
      <c r="H132" s="145"/>
      <c r="I132" s="145"/>
      <c r="J132" s="143">
        <f t="shared" si="52"/>
        <v>0</v>
      </c>
      <c r="K132" s="225"/>
    </row>
    <row r="133" spans="1:16" x14ac:dyDescent="0.3">
      <c r="A133" s="67">
        <v>250</v>
      </c>
      <c r="B133" s="71" t="s">
        <v>76</v>
      </c>
      <c r="C133" s="145">
        <v>2100</v>
      </c>
      <c r="D133" s="145"/>
      <c r="E133" s="145"/>
      <c r="F133" s="145"/>
      <c r="G133" s="145"/>
      <c r="H133" s="145"/>
      <c r="I133" s="145"/>
      <c r="J133" s="143">
        <f t="shared" si="52"/>
        <v>2100</v>
      </c>
      <c r="K133" s="225"/>
    </row>
    <row r="134" spans="1:16" ht="15" thickBot="1" x14ac:dyDescent="0.35">
      <c r="A134" s="74"/>
      <c r="B134" s="71" t="s">
        <v>77</v>
      </c>
      <c r="C134" s="153">
        <f>(175*10*C37)-C126</f>
        <v>19250</v>
      </c>
      <c r="D134" s="153">
        <f t="shared" ref="D134:H134" si="55">(175*10*D37)-D126</f>
        <v>0</v>
      </c>
      <c r="E134" s="153">
        <f t="shared" si="55"/>
        <v>2625</v>
      </c>
      <c r="F134" s="153">
        <f t="shared" si="55"/>
        <v>0</v>
      </c>
      <c r="G134" s="153">
        <f t="shared" si="55"/>
        <v>0</v>
      </c>
      <c r="H134" s="153">
        <f t="shared" si="55"/>
        <v>0</v>
      </c>
      <c r="I134" s="153"/>
      <c r="J134" s="143">
        <f t="shared" si="52"/>
        <v>21875</v>
      </c>
      <c r="K134" s="225"/>
    </row>
    <row r="135" spans="1:16" ht="15" thickBot="1" x14ac:dyDescent="0.35">
      <c r="A135" s="95"/>
      <c r="B135" s="522" t="s">
        <v>446</v>
      </c>
      <c r="C135" s="523">
        <f>SUM(C129:C134)</f>
        <v>405914</v>
      </c>
      <c r="D135" s="523">
        <f t="shared" ref="D135:J135" si="56">SUM(D129:D134)</f>
        <v>61183.75</v>
      </c>
      <c r="E135" s="523">
        <f t="shared" si="56"/>
        <v>44244.375</v>
      </c>
      <c r="F135" s="523">
        <f t="shared" si="56"/>
        <v>13709.924999999999</v>
      </c>
      <c r="G135" s="523">
        <f t="shared" si="56"/>
        <v>24200</v>
      </c>
      <c r="H135" s="523">
        <f t="shared" si="56"/>
        <v>31564.799999999996</v>
      </c>
      <c r="I135" s="523">
        <f t="shared" si="56"/>
        <v>0</v>
      </c>
      <c r="J135" s="523">
        <f t="shared" si="56"/>
        <v>580816.85</v>
      </c>
      <c r="K135" s="225"/>
    </row>
    <row r="136" spans="1:16" ht="15" thickBot="1" x14ac:dyDescent="0.35">
      <c r="A136" s="482"/>
      <c r="B136" s="524" t="s">
        <v>78</v>
      </c>
      <c r="C136" s="483">
        <f>C128+C135</f>
        <v>1163714</v>
      </c>
      <c r="D136" s="483">
        <f t="shared" ref="D136:J136" si="57">D128+D135</f>
        <v>176183.75</v>
      </c>
      <c r="E136" s="483">
        <f t="shared" si="57"/>
        <v>120744.375</v>
      </c>
      <c r="F136" s="483">
        <f t="shared" si="57"/>
        <v>34799.925000000003</v>
      </c>
      <c r="G136" s="483">
        <f t="shared" si="57"/>
        <v>89200</v>
      </c>
      <c r="H136" s="483">
        <f t="shared" si="57"/>
        <v>93124.799999999988</v>
      </c>
      <c r="I136" s="483">
        <f t="shared" si="57"/>
        <v>0</v>
      </c>
      <c r="J136" s="483">
        <f t="shared" si="57"/>
        <v>1677766.85</v>
      </c>
      <c r="K136" s="225"/>
    </row>
    <row r="137" spans="1:16" x14ac:dyDescent="0.3">
      <c r="A137" s="98"/>
      <c r="B137" s="99" t="s">
        <v>79</v>
      </c>
      <c r="C137" s="150" t="str">
        <f t="shared" ref="C137:H137" si="58">C1</f>
        <v>Operating</v>
      </c>
      <c r="D137" s="150" t="str">
        <f t="shared" si="58"/>
        <v>Weights</v>
      </c>
      <c r="E137" s="150" t="str">
        <f t="shared" si="58"/>
        <v>SPED</v>
      </c>
      <c r="F137" s="150" t="str">
        <f t="shared" si="58"/>
        <v>NSLP</v>
      </c>
      <c r="G137" s="150" t="str">
        <f t="shared" si="58"/>
        <v>CSP</v>
      </c>
      <c r="H137" s="150" t="str">
        <f t="shared" si="58"/>
        <v>Title I</v>
      </c>
      <c r="I137" s="150"/>
      <c r="J137" s="150" t="str">
        <f>J1</f>
        <v>Total</v>
      </c>
      <c r="K137" s="230"/>
    </row>
    <row r="138" spans="1:16" x14ac:dyDescent="0.3">
      <c r="A138" s="94"/>
      <c r="B138" s="100" t="s">
        <v>80</v>
      </c>
      <c r="C138" s="143">
        <f>140*C19</f>
        <v>42000</v>
      </c>
      <c r="D138" s="145"/>
      <c r="E138" s="145"/>
      <c r="F138" s="145"/>
      <c r="G138" s="145"/>
      <c r="H138" s="145"/>
      <c r="I138" s="145"/>
      <c r="J138" s="143">
        <f>SUM(C138:I138)</f>
        <v>42000</v>
      </c>
      <c r="K138" s="225"/>
    </row>
    <row r="139" spans="1:16" hidden="1" x14ac:dyDescent="0.3">
      <c r="A139" s="94"/>
      <c r="B139" s="527" t="s">
        <v>435</v>
      </c>
      <c r="C139" s="143">
        <v>0</v>
      </c>
      <c r="D139" s="145"/>
      <c r="E139" s="145"/>
      <c r="F139" s="145"/>
      <c r="G139" s="145"/>
      <c r="H139" s="145"/>
      <c r="I139" s="145"/>
      <c r="J139" s="143">
        <f t="shared" ref="J139:J147" si="59">SUM(C139:I139)</f>
        <v>0</v>
      </c>
      <c r="K139" s="225"/>
    </row>
    <row r="140" spans="1:16" x14ac:dyDescent="0.3">
      <c r="A140" s="94"/>
      <c r="B140" s="410" t="s">
        <v>461</v>
      </c>
      <c r="C140" s="145">
        <v>0</v>
      </c>
      <c r="D140" s="145"/>
      <c r="E140" s="145"/>
      <c r="F140" s="145"/>
      <c r="G140" s="145"/>
      <c r="H140" s="145"/>
      <c r="I140" s="145"/>
      <c r="J140" s="143">
        <f t="shared" si="59"/>
        <v>0</v>
      </c>
      <c r="K140" s="225" t="s">
        <v>397</v>
      </c>
    </row>
    <row r="141" spans="1:16" x14ac:dyDescent="0.3">
      <c r="A141" s="94"/>
      <c r="B141" s="409" t="s">
        <v>437</v>
      </c>
      <c r="C141" s="145">
        <v>0</v>
      </c>
      <c r="D141" s="145"/>
      <c r="E141" s="145"/>
      <c r="F141" s="145"/>
      <c r="G141" s="145">
        <f>4320+159587.2+28320</f>
        <v>192227.20000000001</v>
      </c>
      <c r="H141" s="145"/>
      <c r="I141" s="145"/>
      <c r="J141" s="143">
        <f t="shared" si="59"/>
        <v>192227.20000000001</v>
      </c>
      <c r="K141" s="225"/>
    </row>
    <row r="142" spans="1:16" x14ac:dyDescent="0.3">
      <c r="A142" s="67">
        <v>610</v>
      </c>
      <c r="B142" s="71" t="s">
        <v>83</v>
      </c>
      <c r="C142" s="143">
        <f>14*C19</f>
        <v>4200</v>
      </c>
      <c r="D142" s="145"/>
      <c r="E142" s="145"/>
      <c r="F142" s="145">
        <v>2000</v>
      </c>
      <c r="G142" s="145">
        <v>0</v>
      </c>
      <c r="H142" s="145"/>
      <c r="I142" s="145"/>
      <c r="J142" s="143">
        <f t="shared" si="59"/>
        <v>6200</v>
      </c>
      <c r="K142" s="225"/>
    </row>
    <row r="143" spans="1:16" x14ac:dyDescent="0.3">
      <c r="A143" s="67">
        <v>610</v>
      </c>
      <c r="B143" s="71" t="s">
        <v>84</v>
      </c>
      <c r="C143" s="143">
        <f>29*C19</f>
        <v>8700</v>
      </c>
      <c r="D143" s="145"/>
      <c r="E143" s="145"/>
      <c r="F143" s="145"/>
      <c r="G143" s="145">
        <v>0</v>
      </c>
      <c r="H143" s="145">
        <v>8500</v>
      </c>
      <c r="I143" s="145"/>
      <c r="J143" s="143">
        <f t="shared" si="59"/>
        <v>17200</v>
      </c>
      <c r="K143" s="225"/>
    </row>
    <row r="144" spans="1:16" x14ac:dyDescent="0.3">
      <c r="A144" s="67">
        <v>610</v>
      </c>
      <c r="B144" s="71" t="s">
        <v>85</v>
      </c>
      <c r="C144" s="143">
        <f>4.25*C19</f>
        <v>1275</v>
      </c>
      <c r="D144" s="145"/>
      <c r="E144" s="145"/>
      <c r="F144" s="145"/>
      <c r="G144" s="145"/>
      <c r="H144" s="145"/>
      <c r="I144" s="145"/>
      <c r="J144" s="143">
        <f t="shared" si="59"/>
        <v>1275</v>
      </c>
      <c r="K144" s="225"/>
    </row>
    <row r="145" spans="1:18" x14ac:dyDescent="0.3">
      <c r="A145" s="67">
        <v>610</v>
      </c>
      <c r="B145" s="71" t="s">
        <v>86</v>
      </c>
      <c r="C145" s="143">
        <f>3.25*C19</f>
        <v>975</v>
      </c>
      <c r="D145" s="145"/>
      <c r="E145" s="145"/>
      <c r="F145" s="145"/>
      <c r="G145" s="145"/>
      <c r="H145" s="145"/>
      <c r="I145" s="145"/>
      <c r="J145" s="143">
        <f t="shared" si="59"/>
        <v>975</v>
      </c>
      <c r="K145" s="225"/>
    </row>
    <row r="146" spans="1:18" x14ac:dyDescent="0.3">
      <c r="A146" s="67">
        <v>610</v>
      </c>
      <c r="B146" s="71" t="s">
        <v>87</v>
      </c>
      <c r="C146" s="143">
        <f>120*C22</f>
        <v>0</v>
      </c>
      <c r="D146" s="145"/>
      <c r="E146" s="145">
        <f>129*E22</f>
        <v>4644</v>
      </c>
      <c r="F146" s="145"/>
      <c r="G146" s="145"/>
      <c r="H146" s="145"/>
      <c r="I146" s="145"/>
      <c r="J146" s="143">
        <f t="shared" si="59"/>
        <v>4644</v>
      </c>
      <c r="K146" s="225"/>
    </row>
    <row r="147" spans="1:18" ht="15" thickBot="1" x14ac:dyDescent="0.35">
      <c r="A147" s="102"/>
      <c r="B147" s="71" t="s">
        <v>88</v>
      </c>
      <c r="C147" s="153">
        <v>0</v>
      </c>
      <c r="D147" s="153"/>
      <c r="E147" s="153"/>
      <c r="F147" s="153"/>
      <c r="G147" s="153"/>
      <c r="H147" s="153"/>
      <c r="I147" s="153"/>
      <c r="J147" s="143">
        <f t="shared" si="59"/>
        <v>0</v>
      </c>
      <c r="K147" s="225"/>
    </row>
    <row r="148" spans="1:18" s="222" customFormat="1" ht="15" thickBot="1" x14ac:dyDescent="0.35">
      <c r="A148" s="103"/>
      <c r="B148" s="528" t="s">
        <v>89</v>
      </c>
      <c r="C148" s="483">
        <f>SUM(C138:C147)</f>
        <v>57150</v>
      </c>
      <c r="D148" s="483">
        <f t="shared" ref="D148:J148" si="60">SUM(D138:D147)</f>
        <v>0</v>
      </c>
      <c r="E148" s="483">
        <f t="shared" si="60"/>
        <v>4644</v>
      </c>
      <c r="F148" s="483">
        <f t="shared" si="60"/>
        <v>2000</v>
      </c>
      <c r="G148" s="483">
        <f t="shared" si="60"/>
        <v>192227.20000000001</v>
      </c>
      <c r="H148" s="483">
        <f t="shared" si="60"/>
        <v>8500</v>
      </c>
      <c r="I148" s="483">
        <f t="shared" si="60"/>
        <v>0</v>
      </c>
      <c r="J148" s="483">
        <f t="shared" si="60"/>
        <v>264521.2</v>
      </c>
      <c r="K148" s="237"/>
    </row>
    <row r="149" spans="1:18" s="222" customFormat="1" ht="15" thickBot="1" x14ac:dyDescent="0.35">
      <c r="A149" s="107"/>
      <c r="B149" s="108" t="s">
        <v>90</v>
      </c>
      <c r="C149" s="162"/>
      <c r="D149" s="162"/>
      <c r="E149" s="162"/>
      <c r="F149" s="162"/>
      <c r="G149" s="162"/>
      <c r="H149" s="162"/>
      <c r="I149" s="162"/>
      <c r="J149" s="162"/>
      <c r="K149" s="237"/>
    </row>
    <row r="150" spans="1:18" s="222" customFormat="1" x14ac:dyDescent="0.3">
      <c r="A150" s="78">
        <v>320</v>
      </c>
      <c r="B150" s="71" t="s">
        <v>91</v>
      </c>
      <c r="C150" s="163">
        <v>0</v>
      </c>
      <c r="D150" s="145">
        <f>6000*2</f>
        <v>12000</v>
      </c>
      <c r="E150" s="145"/>
      <c r="F150" s="145"/>
      <c r="G150" s="145"/>
      <c r="H150" s="145"/>
      <c r="I150" s="145"/>
      <c r="J150" s="143">
        <f>SUM(C150:I150)</f>
        <v>12000</v>
      </c>
      <c r="K150" s="237"/>
      <c r="L150" s="219"/>
    </row>
    <row r="151" spans="1:18" x14ac:dyDescent="0.3">
      <c r="A151" s="67">
        <v>300</v>
      </c>
      <c r="B151" s="71" t="s">
        <v>92</v>
      </c>
      <c r="C151" s="145">
        <v>0</v>
      </c>
      <c r="D151" s="145"/>
      <c r="E151" s="145">
        <f>225*C19</f>
        <v>67500</v>
      </c>
      <c r="F151" s="145"/>
      <c r="G151" s="145"/>
      <c r="H151" s="145"/>
      <c r="I151" s="145"/>
      <c r="J151" s="143">
        <f t="shared" ref="J151:J161" si="61">SUM(C151:I151)</f>
        <v>67500</v>
      </c>
      <c r="K151" s="225"/>
    </row>
    <row r="152" spans="1:18" x14ac:dyDescent="0.3">
      <c r="A152" s="67">
        <v>310</v>
      </c>
      <c r="B152" s="71" t="s">
        <v>347</v>
      </c>
      <c r="C152" s="145">
        <v>0</v>
      </c>
      <c r="D152" s="145"/>
      <c r="E152" s="145"/>
      <c r="F152" s="145"/>
      <c r="G152" s="145"/>
      <c r="H152" s="145"/>
      <c r="I152" s="145"/>
      <c r="J152" s="143">
        <f t="shared" si="61"/>
        <v>0</v>
      </c>
      <c r="K152" s="225"/>
      <c r="L152" s="259"/>
      <c r="M152" s="259"/>
      <c r="N152" s="259"/>
      <c r="O152" s="259"/>
      <c r="P152" s="259"/>
    </row>
    <row r="153" spans="1:18" x14ac:dyDescent="0.3">
      <c r="A153" s="67">
        <v>310</v>
      </c>
      <c r="B153" s="71" t="s">
        <v>224</v>
      </c>
      <c r="C153" s="145">
        <f>450*C19</f>
        <v>135000</v>
      </c>
      <c r="D153" s="145"/>
      <c r="E153" s="145"/>
      <c r="F153" s="145"/>
      <c r="G153" s="145"/>
      <c r="H153" s="145"/>
      <c r="I153" s="145"/>
      <c r="J153" s="143">
        <f t="shared" si="61"/>
        <v>135000</v>
      </c>
      <c r="K153" s="225"/>
      <c r="L153" s="259"/>
      <c r="M153" s="259"/>
      <c r="N153" s="259"/>
      <c r="O153" s="259"/>
      <c r="P153" s="259"/>
      <c r="R153" s="365"/>
    </row>
    <row r="154" spans="1:18" x14ac:dyDescent="0.3">
      <c r="A154" s="67">
        <v>310</v>
      </c>
      <c r="B154" s="71" t="s">
        <v>93</v>
      </c>
      <c r="C154" s="145">
        <f>(240*C64)+1500</f>
        <v>5100</v>
      </c>
      <c r="D154" s="145">
        <f>(240*D64)</f>
        <v>480</v>
      </c>
      <c r="E154" s="145">
        <f>(240*E64)</f>
        <v>360</v>
      </c>
      <c r="F154" s="145">
        <f>(240*F64)</f>
        <v>240</v>
      </c>
      <c r="G154" s="145"/>
      <c r="H154" s="145">
        <f>(240*H64)</f>
        <v>720</v>
      </c>
      <c r="I154" s="145"/>
      <c r="J154" s="143">
        <f t="shared" si="61"/>
        <v>6900</v>
      </c>
      <c r="K154" s="225"/>
      <c r="L154" s="167"/>
      <c r="M154" s="167"/>
      <c r="N154" s="167"/>
      <c r="O154" s="167"/>
      <c r="P154" s="167"/>
    </row>
    <row r="155" spans="1:18" x14ac:dyDescent="0.3">
      <c r="A155" s="67">
        <v>340</v>
      </c>
      <c r="B155" s="71" t="s">
        <v>94</v>
      </c>
      <c r="C155" s="145">
        <v>20000</v>
      </c>
      <c r="D155" s="145"/>
      <c r="E155" s="145"/>
      <c r="F155" s="145"/>
      <c r="G155" s="145"/>
      <c r="H155" s="145"/>
      <c r="I155" s="145"/>
      <c r="J155" s="143">
        <f t="shared" si="61"/>
        <v>20000</v>
      </c>
      <c r="K155" s="225"/>
    </row>
    <row r="156" spans="1:18" x14ac:dyDescent="0.3">
      <c r="A156" s="67">
        <v>340</v>
      </c>
      <c r="B156" s="71" t="s">
        <v>95</v>
      </c>
      <c r="C156" s="145">
        <v>5000</v>
      </c>
      <c r="D156" s="145"/>
      <c r="E156" s="145"/>
      <c r="F156" s="145"/>
      <c r="G156" s="145"/>
      <c r="H156" s="145"/>
      <c r="I156" s="145"/>
      <c r="J156" s="143">
        <f t="shared" si="61"/>
        <v>5000</v>
      </c>
      <c r="K156" s="225"/>
    </row>
    <row r="157" spans="1:18" x14ac:dyDescent="0.3">
      <c r="A157" s="67">
        <v>352</v>
      </c>
      <c r="B157" s="71" t="s">
        <v>96</v>
      </c>
      <c r="C157" s="145">
        <f>45*C19</f>
        <v>13500</v>
      </c>
      <c r="D157" s="145"/>
      <c r="E157" s="145"/>
      <c r="F157" s="145"/>
      <c r="G157" s="145"/>
      <c r="H157" s="145"/>
      <c r="I157" s="145"/>
      <c r="J157" s="143">
        <f t="shared" si="61"/>
        <v>13500</v>
      </c>
      <c r="K157" s="225"/>
    </row>
    <row r="158" spans="1:18" x14ac:dyDescent="0.3">
      <c r="A158" s="67">
        <v>350</v>
      </c>
      <c r="B158" s="71" t="s">
        <v>97</v>
      </c>
      <c r="C158" s="145">
        <v>10000</v>
      </c>
      <c r="D158" s="145"/>
      <c r="E158" s="145"/>
      <c r="F158" s="145"/>
      <c r="G158" s="145">
        <f>11700-816</f>
        <v>10884</v>
      </c>
      <c r="H158" s="145"/>
      <c r="I158" s="145"/>
      <c r="J158" s="143">
        <f t="shared" si="61"/>
        <v>20884</v>
      </c>
      <c r="K158" s="225"/>
    </row>
    <row r="159" spans="1:18" x14ac:dyDescent="0.3">
      <c r="A159" s="67">
        <v>591</v>
      </c>
      <c r="B159" s="71" t="s">
        <v>98</v>
      </c>
      <c r="C159" s="145">
        <f>(C86+J89+J92+J93+J94)*0.0125</f>
        <v>28827.679134249996</v>
      </c>
      <c r="D159" s="143">
        <f>(D79+D80+D81)*0.0125</f>
        <v>668.13660925000011</v>
      </c>
      <c r="E159" s="145"/>
      <c r="F159" s="145"/>
      <c r="G159" s="145"/>
      <c r="H159" s="145"/>
      <c r="I159" s="145"/>
      <c r="J159" s="143">
        <f t="shared" si="61"/>
        <v>29495.815743499996</v>
      </c>
      <c r="K159" s="238"/>
    </row>
    <row r="160" spans="1:18" hidden="1" x14ac:dyDescent="0.3">
      <c r="A160" s="67">
        <v>320</v>
      </c>
      <c r="B160" s="71" t="s">
        <v>341</v>
      </c>
      <c r="C160" s="142"/>
      <c r="D160" s="145"/>
      <c r="E160" s="145"/>
      <c r="F160" s="145"/>
      <c r="G160" s="145"/>
      <c r="H160" s="145"/>
      <c r="I160" s="145"/>
      <c r="J160" s="143">
        <f t="shared" si="61"/>
        <v>0</v>
      </c>
      <c r="K160" s="238"/>
      <c r="L160" s="259"/>
      <c r="M160" s="259"/>
      <c r="N160" s="259"/>
      <c r="O160" s="259"/>
      <c r="P160" s="259"/>
    </row>
    <row r="161" spans="1:16" hidden="1" x14ac:dyDescent="0.3">
      <c r="A161" s="67">
        <v>330</v>
      </c>
      <c r="B161" s="410" t="s">
        <v>436</v>
      </c>
      <c r="C161" s="142"/>
      <c r="D161" s="145"/>
      <c r="E161" s="145"/>
      <c r="F161" s="145"/>
      <c r="G161" s="145"/>
      <c r="H161" s="145"/>
      <c r="I161" s="145"/>
      <c r="J161" s="143">
        <f t="shared" si="61"/>
        <v>0</v>
      </c>
      <c r="K161" s="238"/>
      <c r="L161" s="259"/>
      <c r="M161" s="259"/>
      <c r="N161" s="259"/>
      <c r="O161" s="259"/>
      <c r="P161" s="259"/>
    </row>
    <row r="162" spans="1:16" ht="15" thickBot="1" x14ac:dyDescent="0.35">
      <c r="A162" s="67">
        <v>330</v>
      </c>
      <c r="B162" s="71" t="s">
        <v>381</v>
      </c>
      <c r="C162" s="145">
        <f>C86*0.005</f>
        <v>11081.987009999999</v>
      </c>
      <c r="D162" s="145"/>
      <c r="E162" s="145"/>
      <c r="F162" s="145"/>
      <c r="G162" s="145"/>
      <c r="H162" s="145"/>
      <c r="I162" s="145">
        <f>I78</f>
        <v>9350</v>
      </c>
      <c r="J162" s="143">
        <f>SUM(C162:I162)</f>
        <v>20431.987009999997</v>
      </c>
      <c r="K162" s="238"/>
    </row>
    <row r="163" spans="1:16" ht="15" thickBot="1" x14ac:dyDescent="0.35">
      <c r="A163" s="103"/>
      <c r="B163" s="528" t="s">
        <v>447</v>
      </c>
      <c r="C163" s="483">
        <f>SUM(C150:C162)</f>
        <v>228509.66614425002</v>
      </c>
      <c r="D163" s="483">
        <f t="shared" ref="D163:I163" si="62">SUM(D150:D162)</f>
        <v>13148.136609249999</v>
      </c>
      <c r="E163" s="483">
        <f t="shared" si="62"/>
        <v>67860</v>
      </c>
      <c r="F163" s="483">
        <f t="shared" si="62"/>
        <v>240</v>
      </c>
      <c r="G163" s="483">
        <f t="shared" si="62"/>
        <v>10884</v>
      </c>
      <c r="H163" s="483">
        <f t="shared" si="62"/>
        <v>720</v>
      </c>
      <c r="I163" s="483">
        <f t="shared" si="62"/>
        <v>9350</v>
      </c>
      <c r="J163" s="483">
        <f>SUM(J150:J162)</f>
        <v>330711.8027535</v>
      </c>
      <c r="K163" s="225"/>
      <c r="L163" s="260"/>
      <c r="M163" s="260"/>
      <c r="N163" s="260"/>
      <c r="O163" s="260"/>
      <c r="P163" s="260"/>
    </row>
    <row r="164" spans="1:16" ht="15" thickBot="1" x14ac:dyDescent="0.35">
      <c r="A164" s="107"/>
      <c r="B164" s="529" t="s">
        <v>448</v>
      </c>
      <c r="C164" s="150" t="str">
        <f t="shared" ref="C164:J164" si="63">C1</f>
        <v>Operating</v>
      </c>
      <c r="D164" s="150" t="str">
        <f t="shared" si="63"/>
        <v>Weights</v>
      </c>
      <c r="E164" s="150" t="str">
        <f t="shared" si="63"/>
        <v>SPED</v>
      </c>
      <c r="F164" s="150" t="str">
        <f t="shared" si="63"/>
        <v>NSLP</v>
      </c>
      <c r="G164" s="150" t="str">
        <f t="shared" si="63"/>
        <v>CSP</v>
      </c>
      <c r="H164" s="150" t="str">
        <f t="shared" si="63"/>
        <v>Title I</v>
      </c>
      <c r="I164" s="150" t="str">
        <f t="shared" si="63"/>
        <v>Title II</v>
      </c>
      <c r="J164" s="150" t="str">
        <f t="shared" si="63"/>
        <v>Total</v>
      </c>
      <c r="K164" s="230"/>
    </row>
    <row r="165" spans="1:16" x14ac:dyDescent="0.3">
      <c r="A165" s="67">
        <v>533</v>
      </c>
      <c r="B165" s="71" t="s">
        <v>103</v>
      </c>
      <c r="C165" s="143">
        <f>'22-23'!C165*1.05</f>
        <v>6300</v>
      </c>
      <c r="D165" s="143"/>
      <c r="E165" s="143"/>
      <c r="F165" s="143"/>
      <c r="G165" s="143"/>
      <c r="H165" s="143"/>
      <c r="I165" s="143"/>
      <c r="J165" s="143">
        <f t="shared" ref="J165:J171" si="64">SUM(C165:I165)</f>
        <v>6300</v>
      </c>
      <c r="K165" s="225"/>
    </row>
    <row r="166" spans="1:16" x14ac:dyDescent="0.3">
      <c r="A166" s="67">
        <v>535</v>
      </c>
      <c r="B166" s="71" t="s">
        <v>104</v>
      </c>
      <c r="C166" s="143">
        <f>'22-23'!C166*1.05</f>
        <v>7350</v>
      </c>
      <c r="D166" s="143"/>
      <c r="E166" s="143"/>
      <c r="F166" s="143"/>
      <c r="G166" s="143"/>
      <c r="H166" s="143"/>
      <c r="I166" s="143"/>
      <c r="J166" s="143">
        <f t="shared" si="64"/>
        <v>7350</v>
      </c>
      <c r="K166" s="225"/>
    </row>
    <row r="167" spans="1:16" x14ac:dyDescent="0.3">
      <c r="A167" s="67">
        <v>534</v>
      </c>
      <c r="B167" s="71" t="s">
        <v>105</v>
      </c>
      <c r="C167" s="143">
        <v>0</v>
      </c>
      <c r="D167" s="143"/>
      <c r="E167" s="143"/>
      <c r="F167" s="143"/>
      <c r="G167" s="143"/>
      <c r="H167" s="143"/>
      <c r="I167" s="143"/>
      <c r="J167" s="143">
        <f t="shared" si="64"/>
        <v>0</v>
      </c>
      <c r="K167" s="225"/>
    </row>
    <row r="168" spans="1:16" x14ac:dyDescent="0.3">
      <c r="A168" s="67">
        <v>531</v>
      </c>
      <c r="B168" s="71" t="s">
        <v>106</v>
      </c>
      <c r="C168" s="143">
        <v>1000</v>
      </c>
      <c r="D168" s="143"/>
      <c r="E168" s="143"/>
      <c r="F168" s="143"/>
      <c r="G168" s="143"/>
      <c r="H168" s="143"/>
      <c r="I168" s="143"/>
      <c r="J168" s="143">
        <f t="shared" si="64"/>
        <v>1000</v>
      </c>
      <c r="K168" s="225"/>
    </row>
    <row r="169" spans="1:16" x14ac:dyDescent="0.3">
      <c r="A169" s="67">
        <v>535</v>
      </c>
      <c r="B169" s="71" t="s">
        <v>107</v>
      </c>
      <c r="C169" s="143">
        <f>'21-22'!I169*1.02</f>
        <v>5100</v>
      </c>
      <c r="D169" s="143"/>
      <c r="E169" s="143"/>
      <c r="F169" s="143"/>
      <c r="G169" s="143"/>
      <c r="H169" s="143"/>
      <c r="I169" s="143"/>
      <c r="J169" s="143">
        <f t="shared" si="64"/>
        <v>5100</v>
      </c>
      <c r="K169" s="225"/>
    </row>
    <row r="170" spans="1:16" x14ac:dyDescent="0.3">
      <c r="A170" s="67">
        <v>443</v>
      </c>
      <c r="B170" s="71" t="s">
        <v>108</v>
      </c>
      <c r="C170" s="143">
        <v>16000</v>
      </c>
      <c r="D170" s="143"/>
      <c r="E170" s="143"/>
      <c r="F170" s="143"/>
      <c r="G170" s="143"/>
      <c r="H170" s="143"/>
      <c r="I170" s="143"/>
      <c r="J170" s="143">
        <f t="shared" si="64"/>
        <v>16000</v>
      </c>
      <c r="K170" s="225"/>
    </row>
    <row r="171" spans="1:16" ht="15" thickBot="1" x14ac:dyDescent="0.35">
      <c r="A171" s="67">
        <v>651</v>
      </c>
      <c r="B171" s="71" t="s">
        <v>109</v>
      </c>
      <c r="C171" s="143">
        <f>2500+(C19*2)</f>
        <v>3100</v>
      </c>
      <c r="D171" s="143"/>
      <c r="E171" s="143"/>
      <c r="F171" s="143"/>
      <c r="G171" s="143"/>
      <c r="H171" s="143"/>
      <c r="I171" s="143"/>
      <c r="J171" s="143">
        <f t="shared" si="64"/>
        <v>3100</v>
      </c>
      <c r="K171" s="225"/>
    </row>
    <row r="172" spans="1:16" ht="15" thickBot="1" x14ac:dyDescent="0.35">
      <c r="A172" s="103"/>
      <c r="B172" s="528" t="s">
        <v>449</v>
      </c>
      <c r="C172" s="483">
        <f>SUM(C165:C171)</f>
        <v>38850</v>
      </c>
      <c r="D172" s="483">
        <f t="shared" ref="D172:J172" si="65">SUM(D165:D171)</f>
        <v>0</v>
      </c>
      <c r="E172" s="483">
        <f t="shared" si="65"/>
        <v>0</v>
      </c>
      <c r="F172" s="483">
        <f t="shared" si="65"/>
        <v>0</v>
      </c>
      <c r="G172" s="483">
        <f t="shared" si="65"/>
        <v>0</v>
      </c>
      <c r="H172" s="483">
        <f t="shared" si="65"/>
        <v>0</v>
      </c>
      <c r="I172" s="483">
        <f t="shared" si="65"/>
        <v>0</v>
      </c>
      <c r="J172" s="483">
        <f t="shared" si="65"/>
        <v>38850</v>
      </c>
      <c r="K172" s="225"/>
    </row>
    <row r="173" spans="1:16" ht="15" thickBot="1" x14ac:dyDescent="0.35">
      <c r="A173" s="107"/>
      <c r="B173" s="108" t="s">
        <v>111</v>
      </c>
      <c r="C173" s="162"/>
      <c r="D173" s="162"/>
      <c r="E173" s="162"/>
      <c r="F173" s="162"/>
      <c r="G173" s="162"/>
      <c r="H173" s="162"/>
      <c r="I173" s="162"/>
      <c r="J173" s="162"/>
      <c r="K173" s="225"/>
    </row>
    <row r="174" spans="1:16" x14ac:dyDescent="0.3">
      <c r="A174" s="67">
        <v>521</v>
      </c>
      <c r="B174" s="71" t="s">
        <v>410</v>
      </c>
      <c r="C174" s="145">
        <f>'22-23'!C174*1.1</f>
        <v>7700.0000000000009</v>
      </c>
      <c r="D174" s="143"/>
      <c r="E174" s="143"/>
      <c r="F174" s="143"/>
      <c r="G174" s="143"/>
      <c r="H174" s="143"/>
      <c r="I174" s="143"/>
      <c r="J174" s="143">
        <f>SUM(C174:I174)</f>
        <v>7700.0000000000009</v>
      </c>
      <c r="K174" s="225"/>
    </row>
    <row r="175" spans="1:16" x14ac:dyDescent="0.3">
      <c r="A175" s="67">
        <v>522</v>
      </c>
      <c r="B175" s="71" t="s">
        <v>113</v>
      </c>
      <c r="C175" s="145">
        <f>'22-23'!C175*1.1</f>
        <v>5500</v>
      </c>
      <c r="D175" s="143"/>
      <c r="E175" s="143"/>
      <c r="F175" s="143"/>
      <c r="G175" s="143"/>
      <c r="H175" s="143"/>
      <c r="I175" s="143"/>
      <c r="J175" s="143">
        <f>SUM(C175:I175)</f>
        <v>5500</v>
      </c>
      <c r="K175" s="225"/>
      <c r="L175" s="408"/>
    </row>
    <row r="176" spans="1:16" ht="15" thickBot="1" x14ac:dyDescent="0.35">
      <c r="A176" s="67">
        <v>523</v>
      </c>
      <c r="B176" s="71" t="s">
        <v>114</v>
      </c>
      <c r="C176" s="145">
        <f>'22-23'!C176*1.1</f>
        <v>14850.000000000002</v>
      </c>
      <c r="D176" s="143"/>
      <c r="E176" s="143"/>
      <c r="F176" s="143"/>
      <c r="G176" s="143"/>
      <c r="H176" s="143"/>
      <c r="I176" s="143"/>
      <c r="J176" s="143">
        <f>SUM(C176:I176)</f>
        <v>14850.000000000002</v>
      </c>
      <c r="K176" s="225"/>
    </row>
    <row r="177" spans="1:14" ht="15" thickBot="1" x14ac:dyDescent="0.35">
      <c r="A177" s="103"/>
      <c r="B177" s="528" t="s">
        <v>450</v>
      </c>
      <c r="C177" s="483">
        <f>SUM(C174:C176)</f>
        <v>28050</v>
      </c>
      <c r="D177" s="483">
        <f t="shared" ref="D177:J177" si="66">SUM(D174:D176)</f>
        <v>0</v>
      </c>
      <c r="E177" s="483">
        <f t="shared" si="66"/>
        <v>0</v>
      </c>
      <c r="F177" s="483">
        <f t="shared" si="66"/>
        <v>0</v>
      </c>
      <c r="G177" s="483">
        <f t="shared" si="66"/>
        <v>0</v>
      </c>
      <c r="H177" s="483">
        <f t="shared" si="66"/>
        <v>0</v>
      </c>
      <c r="I177" s="483">
        <f t="shared" si="66"/>
        <v>0</v>
      </c>
      <c r="J177" s="483">
        <f t="shared" si="66"/>
        <v>28050</v>
      </c>
      <c r="K177" s="225"/>
    </row>
    <row r="178" spans="1:14" ht="15" thickBot="1" x14ac:dyDescent="0.35">
      <c r="A178" s="107"/>
      <c r="B178" s="108" t="s">
        <v>116</v>
      </c>
      <c r="C178" s="162"/>
      <c r="D178" s="162"/>
      <c r="E178" s="162"/>
      <c r="F178" s="162"/>
      <c r="G178" s="162"/>
      <c r="H178" s="162"/>
      <c r="I178" s="162"/>
      <c r="J178" s="162"/>
      <c r="K178" s="225"/>
    </row>
    <row r="179" spans="1:14" x14ac:dyDescent="0.3">
      <c r="A179" s="67">
        <v>570</v>
      </c>
      <c r="B179" s="71" t="s">
        <v>392</v>
      </c>
      <c r="C179" s="143">
        <f>((C19*C25)*3*180)</f>
        <v>0</v>
      </c>
      <c r="D179" s="143"/>
      <c r="E179" s="143"/>
      <c r="F179" s="143">
        <f>((C19*F25)*3.25*180)+((C19*F25)*2.5*180)</f>
        <v>267030</v>
      </c>
      <c r="G179" s="143"/>
      <c r="H179" s="143"/>
      <c r="I179" s="143"/>
      <c r="J179" s="143">
        <f>SUM(C179:I179)</f>
        <v>267030</v>
      </c>
      <c r="K179" s="239"/>
    </row>
    <row r="180" spans="1:14" x14ac:dyDescent="0.3">
      <c r="A180" s="67">
        <v>540</v>
      </c>
      <c r="B180" s="71" t="s">
        <v>118</v>
      </c>
      <c r="C180" s="145">
        <f>'22-23'!C180*1.04</f>
        <v>5200</v>
      </c>
      <c r="D180" s="143"/>
      <c r="E180" s="143"/>
      <c r="F180" s="143"/>
      <c r="G180" s="143"/>
      <c r="H180" s="143"/>
      <c r="I180" s="143"/>
      <c r="J180" s="143">
        <f t="shared" ref="J180:J186" si="67">SUM(C180:I180)</f>
        <v>5200</v>
      </c>
      <c r="K180" s="225"/>
    </row>
    <row r="181" spans="1:14" x14ac:dyDescent="0.3">
      <c r="A181" s="67">
        <v>580</v>
      </c>
      <c r="B181" s="71" t="s">
        <v>119</v>
      </c>
      <c r="C181" s="143">
        <v>5000</v>
      </c>
      <c r="D181" s="143"/>
      <c r="E181" s="143"/>
      <c r="F181" s="143"/>
      <c r="G181" s="143"/>
      <c r="H181" s="143"/>
      <c r="I181" s="143"/>
      <c r="J181" s="143">
        <f t="shared" si="67"/>
        <v>5000</v>
      </c>
      <c r="K181" s="225"/>
    </row>
    <row r="182" spans="1:14" x14ac:dyDescent="0.3">
      <c r="A182" s="67">
        <v>340</v>
      </c>
      <c r="B182" s="71" t="s">
        <v>120</v>
      </c>
      <c r="C182" s="143">
        <f>IF((J64-'22-23'!J62)*60&gt;600,(J64-'22-23'!J62)*60,600)</f>
        <v>1410</v>
      </c>
      <c r="D182" s="143"/>
      <c r="E182" s="143"/>
      <c r="F182" s="143"/>
      <c r="G182" s="143"/>
      <c r="H182" s="143"/>
      <c r="I182" s="143"/>
      <c r="J182" s="143">
        <f t="shared" si="67"/>
        <v>1410</v>
      </c>
      <c r="K182" s="225"/>
    </row>
    <row r="183" spans="1:14" x14ac:dyDescent="0.3">
      <c r="A183" s="112">
        <v>810</v>
      </c>
      <c r="B183" s="71" t="s">
        <v>121</v>
      </c>
      <c r="C183" s="145">
        <v>5500</v>
      </c>
      <c r="D183" s="143"/>
      <c r="E183" s="143"/>
      <c r="F183" s="143"/>
      <c r="G183" s="143"/>
      <c r="H183" s="143"/>
      <c r="I183" s="143"/>
      <c r="J183" s="143">
        <f t="shared" si="67"/>
        <v>5500</v>
      </c>
      <c r="K183" s="225"/>
    </row>
    <row r="184" spans="1:14" hidden="1" x14ac:dyDescent="0.3">
      <c r="A184" s="94"/>
      <c r="B184" s="71" t="s">
        <v>122</v>
      </c>
      <c r="C184" s="145"/>
      <c r="D184" s="143"/>
      <c r="E184" s="143"/>
      <c r="F184" s="143"/>
      <c r="G184" s="143"/>
      <c r="H184" s="143"/>
      <c r="I184" s="143"/>
      <c r="J184" s="143">
        <f t="shared" si="67"/>
        <v>0</v>
      </c>
      <c r="K184" s="225"/>
    </row>
    <row r="185" spans="1:14" x14ac:dyDescent="0.3">
      <c r="A185" s="112"/>
      <c r="B185" s="71" t="s">
        <v>123</v>
      </c>
      <c r="C185" s="145"/>
      <c r="D185" s="143"/>
      <c r="E185" s="143"/>
      <c r="F185" s="143"/>
      <c r="G185" s="143"/>
      <c r="H185" s="143"/>
      <c r="I185" s="143"/>
      <c r="J185" s="143">
        <f t="shared" si="67"/>
        <v>0</v>
      </c>
      <c r="K185" s="225"/>
    </row>
    <row r="186" spans="1:14" x14ac:dyDescent="0.3">
      <c r="A186" s="112"/>
      <c r="B186" s="71" t="s">
        <v>124</v>
      </c>
      <c r="C186" s="145">
        <v>0</v>
      </c>
      <c r="D186" s="143"/>
      <c r="E186" s="143"/>
      <c r="F186" s="143"/>
      <c r="G186" s="143"/>
      <c r="H186" s="143"/>
      <c r="I186" s="143"/>
      <c r="J186" s="143">
        <f t="shared" si="67"/>
        <v>0</v>
      </c>
      <c r="K186" s="225" t="s">
        <v>404</v>
      </c>
      <c r="L186" s="260"/>
      <c r="M186" s="260"/>
      <c r="N186" s="261"/>
    </row>
    <row r="187" spans="1:14" ht="15" thickBot="1" x14ac:dyDescent="0.35">
      <c r="A187" s="67">
        <v>900</v>
      </c>
      <c r="B187" s="71" t="s">
        <v>125</v>
      </c>
      <c r="C187" s="143">
        <v>1000</v>
      </c>
      <c r="D187" s="143"/>
      <c r="E187" s="143"/>
      <c r="F187" s="143"/>
      <c r="G187" s="143"/>
      <c r="H187" s="143"/>
      <c r="I187" s="143"/>
      <c r="J187" s="143">
        <f>SUM(C187:I187)</f>
        <v>1000</v>
      </c>
      <c r="K187" s="225"/>
    </row>
    <row r="188" spans="1:14" ht="15" thickBot="1" x14ac:dyDescent="0.35">
      <c r="A188" s="103"/>
      <c r="B188" s="528" t="s">
        <v>451</v>
      </c>
      <c r="C188" s="483">
        <f>SUM(C179:C187)</f>
        <v>18110</v>
      </c>
      <c r="D188" s="483">
        <f t="shared" ref="D188:J188" si="68">SUM(D179:D187)</f>
        <v>0</v>
      </c>
      <c r="E188" s="483">
        <f t="shared" si="68"/>
        <v>0</v>
      </c>
      <c r="F188" s="483">
        <f t="shared" si="68"/>
        <v>267030</v>
      </c>
      <c r="G188" s="483">
        <f t="shared" si="68"/>
        <v>0</v>
      </c>
      <c r="H188" s="483">
        <f t="shared" si="68"/>
        <v>0</v>
      </c>
      <c r="I188" s="483">
        <f t="shared" si="68"/>
        <v>0</v>
      </c>
      <c r="J188" s="483">
        <f t="shared" si="68"/>
        <v>285140</v>
      </c>
      <c r="K188" s="225"/>
    </row>
    <row r="189" spans="1:14" ht="15" thickBot="1" x14ac:dyDescent="0.35">
      <c r="A189" s="107"/>
      <c r="B189" s="108" t="s">
        <v>127</v>
      </c>
      <c r="C189" s="150" t="str">
        <f t="shared" ref="C189:J189" si="69">C1</f>
        <v>Operating</v>
      </c>
      <c r="D189" s="150" t="str">
        <f t="shared" si="69"/>
        <v>Weights</v>
      </c>
      <c r="E189" s="150" t="str">
        <f t="shared" si="69"/>
        <v>SPED</v>
      </c>
      <c r="F189" s="150" t="str">
        <f t="shared" si="69"/>
        <v>NSLP</v>
      </c>
      <c r="G189" s="150" t="str">
        <f t="shared" si="69"/>
        <v>CSP</v>
      </c>
      <c r="H189" s="150" t="str">
        <f t="shared" si="69"/>
        <v>Title I</v>
      </c>
      <c r="I189" s="150" t="str">
        <f t="shared" si="69"/>
        <v>Title II</v>
      </c>
      <c r="J189" s="150" t="str">
        <f t="shared" si="69"/>
        <v>Total</v>
      </c>
      <c r="K189" s="230"/>
    </row>
    <row r="190" spans="1:14" x14ac:dyDescent="0.3">
      <c r="A190" s="78">
        <v>622</v>
      </c>
      <c r="B190" s="71" t="s">
        <v>325</v>
      </c>
      <c r="C190" s="157">
        <f>'22-23'!C190*1.06</f>
        <v>31800</v>
      </c>
      <c r="D190" s="143"/>
      <c r="E190" s="143"/>
      <c r="F190" s="143"/>
      <c r="G190" s="143"/>
      <c r="H190" s="143"/>
      <c r="I190" s="143"/>
      <c r="J190" s="143">
        <f t="shared" ref="J190:J200" si="70">SUM(C190:I190)</f>
        <v>31800</v>
      </c>
      <c r="K190" s="225"/>
    </row>
    <row r="191" spans="1:14" x14ac:dyDescent="0.3">
      <c r="A191" s="67">
        <v>621</v>
      </c>
      <c r="B191" s="71" t="s">
        <v>129</v>
      </c>
      <c r="C191" s="157">
        <f>'22-23'!C191*1.06</f>
        <v>0</v>
      </c>
      <c r="D191" s="143"/>
      <c r="E191" s="143"/>
      <c r="F191" s="143"/>
      <c r="G191" s="143"/>
      <c r="H191" s="143"/>
      <c r="I191" s="143"/>
      <c r="J191" s="143">
        <f t="shared" si="70"/>
        <v>0</v>
      </c>
      <c r="K191" s="225"/>
    </row>
    <row r="192" spans="1:14" x14ac:dyDescent="0.3">
      <c r="A192" s="67">
        <v>411</v>
      </c>
      <c r="B192" s="71" t="s">
        <v>130</v>
      </c>
      <c r="C192" s="157">
        <f>'22-23'!C192*1.06</f>
        <v>10600</v>
      </c>
      <c r="D192" s="143"/>
      <c r="E192" s="143"/>
      <c r="F192" s="143"/>
      <c r="G192" s="143"/>
      <c r="H192" s="143"/>
      <c r="I192" s="143"/>
      <c r="J192" s="143">
        <f t="shared" si="70"/>
        <v>10600</v>
      </c>
      <c r="K192" s="225"/>
    </row>
    <row r="193" spans="1:16" x14ac:dyDescent="0.3">
      <c r="A193" s="67">
        <v>422</v>
      </c>
      <c r="B193" s="71" t="s">
        <v>131</v>
      </c>
      <c r="C193" s="157">
        <f>'22-23'!C193*1.06</f>
        <v>7950</v>
      </c>
      <c r="D193" s="143"/>
      <c r="E193" s="143"/>
      <c r="F193" s="143"/>
      <c r="G193" s="143"/>
      <c r="H193" s="143"/>
      <c r="I193" s="143"/>
      <c r="J193" s="143">
        <f t="shared" si="70"/>
        <v>7950</v>
      </c>
      <c r="K193" s="225"/>
    </row>
    <row r="194" spans="1:16" x14ac:dyDescent="0.3">
      <c r="A194" s="67">
        <v>490</v>
      </c>
      <c r="B194" s="71" t="s">
        <v>132</v>
      </c>
      <c r="C194" s="157">
        <f>'22-23'!C194*1.03</f>
        <v>5150</v>
      </c>
      <c r="D194" s="143"/>
      <c r="E194" s="143"/>
      <c r="F194" s="143"/>
      <c r="G194" s="143"/>
      <c r="H194" s="143"/>
      <c r="I194" s="143"/>
      <c r="J194" s="143">
        <f t="shared" si="70"/>
        <v>5150</v>
      </c>
      <c r="K194" s="225"/>
    </row>
    <row r="195" spans="1:16" x14ac:dyDescent="0.3">
      <c r="A195" s="67">
        <v>422</v>
      </c>
      <c r="B195" s="71" t="s">
        <v>133</v>
      </c>
      <c r="C195" s="142">
        <f>((45000*0.75)*0.14)*12</f>
        <v>56700</v>
      </c>
      <c r="D195" s="143"/>
      <c r="E195" s="143"/>
      <c r="F195" s="143"/>
      <c r="G195" s="143"/>
      <c r="H195" s="143"/>
      <c r="I195" s="143"/>
      <c r="J195" s="143">
        <f t="shared" si="70"/>
        <v>56700</v>
      </c>
      <c r="K195" s="237"/>
    </row>
    <row r="196" spans="1:16" x14ac:dyDescent="0.3">
      <c r="A196" s="67">
        <v>610</v>
      </c>
      <c r="B196" s="71" t="s">
        <v>134</v>
      </c>
      <c r="C196" s="143">
        <f>32*C5</f>
        <v>9600</v>
      </c>
      <c r="D196" s="143"/>
      <c r="E196" s="143"/>
      <c r="F196" s="143"/>
      <c r="G196" s="143"/>
      <c r="H196" s="143"/>
      <c r="I196" s="143"/>
      <c r="J196" s="143">
        <f t="shared" si="70"/>
        <v>9600</v>
      </c>
      <c r="K196" s="237"/>
    </row>
    <row r="197" spans="1:16" x14ac:dyDescent="0.3">
      <c r="A197" s="67" t="s">
        <v>135</v>
      </c>
      <c r="B197" s="71" t="s">
        <v>136</v>
      </c>
      <c r="C197" s="143">
        <v>10000</v>
      </c>
      <c r="D197" s="143"/>
      <c r="E197" s="143"/>
      <c r="F197" s="143"/>
      <c r="G197" s="143"/>
      <c r="H197" s="143"/>
      <c r="I197" s="143"/>
      <c r="J197" s="143">
        <f t="shared" si="70"/>
        <v>10000</v>
      </c>
      <c r="K197" s="237"/>
    </row>
    <row r="198" spans="1:16" hidden="1" x14ac:dyDescent="0.3">
      <c r="A198" s="113"/>
      <c r="B198" s="71" t="s">
        <v>137</v>
      </c>
      <c r="C198" s="143">
        <v>0</v>
      </c>
      <c r="D198" s="143"/>
      <c r="E198" s="143"/>
      <c r="F198" s="143"/>
      <c r="G198" s="143"/>
      <c r="H198" s="143"/>
      <c r="I198" s="143"/>
      <c r="J198" s="143">
        <f t="shared" si="70"/>
        <v>0</v>
      </c>
      <c r="K198" s="237"/>
    </row>
    <row r="199" spans="1:16" x14ac:dyDescent="0.3">
      <c r="A199" s="67">
        <v>420</v>
      </c>
      <c r="B199" s="71" t="s">
        <v>138</v>
      </c>
      <c r="C199" s="143">
        <f>'22-23'!C199*1.03</f>
        <v>6180</v>
      </c>
      <c r="D199" s="143"/>
      <c r="E199" s="143"/>
      <c r="F199" s="143"/>
      <c r="G199" s="143"/>
      <c r="H199" s="143"/>
      <c r="I199" s="143"/>
      <c r="J199" s="143">
        <f t="shared" si="70"/>
        <v>6180</v>
      </c>
      <c r="K199" s="225"/>
    </row>
    <row r="200" spans="1:16" ht="15" thickBot="1" x14ac:dyDescent="0.35">
      <c r="A200" s="74">
        <v>431</v>
      </c>
      <c r="B200" s="71" t="s">
        <v>139</v>
      </c>
      <c r="C200" s="143">
        <f>'22-23'!C200*1.03</f>
        <v>7725</v>
      </c>
      <c r="D200" s="143"/>
      <c r="E200" s="143"/>
      <c r="F200" s="143"/>
      <c r="G200" s="143"/>
      <c r="H200" s="143"/>
      <c r="I200" s="143"/>
      <c r="J200" s="143">
        <f t="shared" si="70"/>
        <v>7725</v>
      </c>
      <c r="K200" s="225"/>
    </row>
    <row r="201" spans="1:16" ht="15" thickBot="1" x14ac:dyDescent="0.35">
      <c r="A201" s="95"/>
      <c r="B201" s="528" t="s">
        <v>452</v>
      </c>
      <c r="C201" s="483">
        <f>SUM(C190:C200)</f>
        <v>145705</v>
      </c>
      <c r="D201" s="483">
        <f t="shared" ref="D201:J201" si="71">SUM(D190:D200)</f>
        <v>0</v>
      </c>
      <c r="E201" s="483">
        <f t="shared" si="71"/>
        <v>0</v>
      </c>
      <c r="F201" s="483">
        <f t="shared" si="71"/>
        <v>0</v>
      </c>
      <c r="G201" s="483">
        <f t="shared" si="71"/>
        <v>0</v>
      </c>
      <c r="H201" s="483">
        <f t="shared" si="71"/>
        <v>0</v>
      </c>
      <c r="I201" s="483">
        <f t="shared" si="71"/>
        <v>0</v>
      </c>
      <c r="J201" s="483">
        <f t="shared" si="71"/>
        <v>145705</v>
      </c>
      <c r="K201" s="225"/>
    </row>
    <row r="202" spans="1:16" ht="15" thickBot="1" x14ac:dyDescent="0.35">
      <c r="A202" s="114"/>
      <c r="B202" s="530"/>
      <c r="C202" s="154"/>
      <c r="D202" s="154"/>
      <c r="E202" s="154"/>
      <c r="F202" s="154"/>
      <c r="G202" s="154"/>
      <c r="H202" s="154"/>
      <c r="I202" s="154"/>
      <c r="J202" s="154"/>
      <c r="K202" s="225"/>
    </row>
    <row r="203" spans="1:16" ht="15" thickBot="1" x14ac:dyDescent="0.35">
      <c r="A203" s="116"/>
      <c r="B203" s="528" t="s">
        <v>453</v>
      </c>
      <c r="C203" s="531">
        <f>C136+C148+C163+C172+C177+C188+C201</f>
        <v>1680088.66614425</v>
      </c>
      <c r="D203" s="531">
        <f t="shared" ref="D203:I203" si="72">D136+D148+D163+D172+D177+D188+D201</f>
        <v>189331.88660925001</v>
      </c>
      <c r="E203" s="531">
        <f t="shared" si="72"/>
        <v>193248.375</v>
      </c>
      <c r="F203" s="531">
        <f t="shared" si="72"/>
        <v>304069.92499999999</v>
      </c>
      <c r="G203" s="531">
        <f t="shared" si="72"/>
        <v>292311.2</v>
      </c>
      <c r="H203" s="531">
        <f t="shared" si="72"/>
        <v>102344.79999999999</v>
      </c>
      <c r="I203" s="531">
        <f t="shared" si="72"/>
        <v>9350</v>
      </c>
      <c r="J203" s="531">
        <f>J136+J148+J163+J172+J177+J188+J201</f>
        <v>2770744.8527535</v>
      </c>
      <c r="K203" s="225"/>
      <c r="N203" s="221"/>
    </row>
    <row r="204" spans="1:16" x14ac:dyDescent="0.3">
      <c r="A204" s="78"/>
      <c r="B204" s="118"/>
      <c r="C204" s="157"/>
      <c r="D204" s="157"/>
      <c r="E204" s="157"/>
      <c r="F204" s="157"/>
      <c r="G204" s="157"/>
      <c r="H204" s="157"/>
      <c r="I204" s="157"/>
      <c r="J204" s="157"/>
      <c r="K204" s="225"/>
    </row>
    <row r="205" spans="1:16" x14ac:dyDescent="0.3">
      <c r="A205" s="67"/>
      <c r="B205" s="533" t="s">
        <v>464</v>
      </c>
      <c r="C205" s="143">
        <v>0</v>
      </c>
      <c r="D205" s="143"/>
      <c r="E205" s="143"/>
      <c r="F205" s="143"/>
      <c r="G205" s="143"/>
      <c r="H205" s="143"/>
      <c r="I205" s="143"/>
      <c r="J205" s="143"/>
      <c r="K205" s="225"/>
    </row>
    <row r="206" spans="1:16" x14ac:dyDescent="0.3">
      <c r="A206" s="67"/>
      <c r="B206" s="533" t="s">
        <v>142</v>
      </c>
      <c r="C206" s="143">
        <f>C19*(500)</f>
        <v>150000</v>
      </c>
      <c r="D206" s="143"/>
      <c r="E206" s="143"/>
      <c r="F206" s="143"/>
      <c r="G206" s="143"/>
      <c r="H206" s="143"/>
      <c r="I206" s="143"/>
      <c r="J206" s="143">
        <f>SUM(C206:H206)</f>
        <v>150000</v>
      </c>
      <c r="L206" s="268"/>
      <c r="M206" s="238"/>
      <c r="N206" s="238"/>
      <c r="O206" s="238"/>
      <c r="P206" s="238"/>
    </row>
    <row r="207" spans="1:16" x14ac:dyDescent="0.3">
      <c r="A207" s="67"/>
      <c r="B207" s="533" t="s">
        <v>143</v>
      </c>
      <c r="C207" s="143">
        <v>0</v>
      </c>
      <c r="D207" s="143"/>
      <c r="E207" s="143"/>
      <c r="F207" s="143"/>
      <c r="G207" s="143"/>
      <c r="H207" s="143"/>
      <c r="I207" s="143"/>
      <c r="J207" s="143">
        <f>SUM(C207:H207)</f>
        <v>0</v>
      </c>
      <c r="K207" s="225"/>
      <c r="L207" s="429"/>
    </row>
    <row r="208" spans="1:16" x14ac:dyDescent="0.3">
      <c r="A208" s="67"/>
      <c r="B208" s="533" t="s">
        <v>383</v>
      </c>
      <c r="C208" s="143">
        <v>0</v>
      </c>
      <c r="D208" s="143"/>
      <c r="E208" s="143"/>
      <c r="F208" s="143"/>
      <c r="G208" s="143"/>
      <c r="H208" s="143"/>
      <c r="I208" s="143"/>
      <c r="J208" s="143">
        <f>SUM(C208:H208)</f>
        <v>0</v>
      </c>
      <c r="K208" s="430" t="s">
        <v>395</v>
      </c>
    </row>
    <row r="209" spans="1:11" x14ac:dyDescent="0.3">
      <c r="A209" s="67"/>
      <c r="B209" s="139"/>
      <c r="C209" s="143">
        <v>0</v>
      </c>
      <c r="D209" s="143">
        <v>0</v>
      </c>
      <c r="E209" s="143">
        <v>0</v>
      </c>
      <c r="F209" s="143">
        <v>0</v>
      </c>
      <c r="G209" s="143"/>
      <c r="H209" s="143">
        <v>0</v>
      </c>
      <c r="I209" s="143"/>
      <c r="J209" s="143">
        <f>SUM(C209:H209)</f>
        <v>0</v>
      </c>
      <c r="K209" s="225"/>
    </row>
    <row r="210" spans="1:11" ht="15" thickBot="1" x14ac:dyDescent="0.35">
      <c r="A210" s="74"/>
      <c r="B210" s="62"/>
      <c r="C210" s="153"/>
      <c r="D210" s="153"/>
      <c r="E210" s="153"/>
      <c r="F210" s="153"/>
      <c r="G210" s="153"/>
      <c r="H210" s="153"/>
      <c r="I210" s="153"/>
      <c r="J210" s="153"/>
      <c r="K210" s="225"/>
    </row>
    <row r="211" spans="1:11" ht="15" thickBot="1" x14ac:dyDescent="0.35">
      <c r="A211" s="116"/>
      <c r="B211" s="536" t="s">
        <v>145</v>
      </c>
      <c r="C211" s="537">
        <f>C85-C203-C205-C206-C208-C207</f>
        <v>386308.73585574981</v>
      </c>
      <c r="D211" s="538">
        <f t="shared" ref="D211:J211" si="73">D85-D203-D205-D206-D208-D207</f>
        <v>-135880.95786925001</v>
      </c>
      <c r="E211" s="538">
        <f t="shared" si="73"/>
        <v>-144342.375</v>
      </c>
      <c r="F211" s="538">
        <f t="shared" si="73"/>
        <v>-56080.324999999983</v>
      </c>
      <c r="G211" s="538">
        <f t="shared" si="73"/>
        <v>0</v>
      </c>
      <c r="H211" s="538">
        <f t="shared" si="73"/>
        <v>-9464.7999999999884</v>
      </c>
      <c r="I211" s="538">
        <f t="shared" si="73"/>
        <v>0</v>
      </c>
      <c r="J211" s="538">
        <f t="shared" si="73"/>
        <v>40540.277986499947</v>
      </c>
      <c r="K211" s="225"/>
    </row>
    <row r="212" spans="1:11" ht="15" thickBot="1" x14ac:dyDescent="0.35">
      <c r="A212" s="78"/>
      <c r="B212" s="123"/>
      <c r="C212" s="165">
        <f>C211/(C85-C74)</f>
        <v>0.17429578987376462</v>
      </c>
      <c r="D212" s="165">
        <f>D211/(D85-D74)</f>
        <v>-2.5421627102161741</v>
      </c>
      <c r="E212" s="165">
        <f>E211/(E85-E74)</f>
        <v>-2.9514246718194088</v>
      </c>
      <c r="F212" s="165" t="e">
        <f>F211/(F85-F74)</f>
        <v>#DIV/0!</v>
      </c>
      <c r="G212" s="165"/>
      <c r="H212" s="165">
        <f>H211/(H85-H74)</f>
        <v>-0.10190353143841503</v>
      </c>
      <c r="I212" s="165">
        <f>I211/(I85-I74)</f>
        <v>0</v>
      </c>
      <c r="J212" s="165">
        <f>J211/(J85-J74)</f>
        <v>1.4941342558229679E-2</v>
      </c>
      <c r="K212" s="225"/>
    </row>
    <row r="213" spans="1:11" x14ac:dyDescent="0.3">
      <c r="B213" s="3" t="str">
        <f t="shared" ref="B213:J213" si="74">B1</f>
        <v>Young Women's Leadership Academy - FY24</v>
      </c>
      <c r="C213" s="3" t="str">
        <f t="shared" si="74"/>
        <v>Operating</v>
      </c>
      <c r="D213" s="3" t="str">
        <f t="shared" si="74"/>
        <v>Weights</v>
      </c>
      <c r="E213" s="3" t="str">
        <f t="shared" si="74"/>
        <v>SPED</v>
      </c>
      <c r="F213" s="3" t="str">
        <f t="shared" si="74"/>
        <v>NSLP</v>
      </c>
      <c r="G213" s="3" t="str">
        <f t="shared" si="74"/>
        <v>CSP</v>
      </c>
      <c r="H213" s="3" t="str">
        <f t="shared" si="74"/>
        <v>Title I</v>
      </c>
      <c r="I213" s="3" t="str">
        <f t="shared" si="74"/>
        <v>Title II</v>
      </c>
      <c r="J213" s="3" t="str">
        <f t="shared" si="74"/>
        <v>Total</v>
      </c>
      <c r="K213" s="230"/>
    </row>
    <row r="214" spans="1:11" hidden="1" x14ac:dyDescent="0.3"/>
    <row r="215" spans="1:11" hidden="1" x14ac:dyDescent="0.3"/>
    <row r="216" spans="1:11" hidden="1" x14ac:dyDescent="0.3">
      <c r="A216" s="113"/>
      <c r="B216" s="126" t="s">
        <v>146</v>
      </c>
      <c r="C216" s="7"/>
      <c r="D216" s="7"/>
      <c r="E216" s="7"/>
      <c r="F216" s="7"/>
      <c r="G216" s="7"/>
      <c r="H216" s="7"/>
      <c r="I216" s="7"/>
      <c r="J216" s="7"/>
    </row>
    <row r="217" spans="1:11" hidden="1" x14ac:dyDescent="0.3">
      <c r="A217" s="113"/>
      <c r="B217" s="126" t="s">
        <v>147</v>
      </c>
      <c r="C217" s="7"/>
      <c r="D217" s="7"/>
      <c r="E217" s="7"/>
      <c r="F217" s="7"/>
      <c r="G217" s="7"/>
      <c r="H217" s="7"/>
      <c r="I217" s="7"/>
      <c r="J217" s="7"/>
    </row>
    <row r="218" spans="1:11" hidden="1" x14ac:dyDescent="0.3"/>
    <row r="219" spans="1:11" ht="15" thickBot="1" x14ac:dyDescent="0.35"/>
    <row r="220" spans="1:11" ht="15" thickBot="1" x14ac:dyDescent="0.35">
      <c r="A220" s="116"/>
      <c r="B220" s="122" t="s">
        <v>49</v>
      </c>
      <c r="C220" s="269">
        <f>C74-((C125*1.4725)+C179)</f>
        <v>0</v>
      </c>
      <c r="D220" s="269">
        <f>D74-((D125*1.4725)+D179)</f>
        <v>0</v>
      </c>
      <c r="E220" s="269">
        <f>E74-((E125*1.4775)+E179)</f>
        <v>0</v>
      </c>
      <c r="F220" s="269">
        <f>F74-((F125*1.4825)+F179)</f>
        <v>-50306.324999999983</v>
      </c>
      <c r="G220" s="269"/>
      <c r="H220" s="269">
        <f>H74-((H125*1.4875)+H179)</f>
        <v>0</v>
      </c>
      <c r="I220" s="269"/>
      <c r="J220" s="269">
        <f>J74-((J125*1.4925)+J179)</f>
        <v>-50517.225000000006</v>
      </c>
    </row>
    <row r="221" spans="1:11" ht="15" thickBot="1" x14ac:dyDescent="0.35">
      <c r="A221" s="116"/>
      <c r="B221" s="122" t="s">
        <v>16</v>
      </c>
      <c r="C221" s="269">
        <f>(C75+C76)-(((C109+C118+C119+C120+C121+C122)*1.4725)+C146+C151)</f>
        <v>0</v>
      </c>
      <c r="D221" s="269">
        <f>(D75+D76)-(((D109+D118+D119+D120+D121+D122)*1.4725)+D146+D151)</f>
        <v>0</v>
      </c>
      <c r="E221" s="269">
        <f>(E75+E76)-(((E109+E118+E119+E120+E121+E122)*1.4775)+E146+E151)</f>
        <v>-136266.75</v>
      </c>
      <c r="F221" s="269">
        <f>(F75+F76)-(((F109+F118+F119+F120+F121+F122)*1.4825)+F146+F151)</f>
        <v>0</v>
      </c>
      <c r="G221" s="269"/>
      <c r="H221" s="269">
        <f>(H75+H76)-(((H109+H118+H119+H120+H121+H122)*1.4875)+H146+H151)</f>
        <v>0</v>
      </c>
      <c r="I221" s="269"/>
      <c r="J221" s="269">
        <f>(J75+J76)-(((J109+J118+J119+J120+J121+J122)*1.4925)+J146+J151)</f>
        <v>-137414.25</v>
      </c>
    </row>
    <row r="225" spans="2:10" x14ac:dyDescent="0.3">
      <c r="B225" s="246" t="s">
        <v>195</v>
      </c>
      <c r="C225" s="247"/>
      <c r="D225" s="247"/>
      <c r="E225" s="247"/>
      <c r="F225" s="247"/>
      <c r="G225" s="247"/>
      <c r="H225" s="247"/>
      <c r="I225" s="247"/>
      <c r="J225" s="247">
        <f>J85-J203</f>
        <v>190540.27798649995</v>
      </c>
    </row>
    <row r="226" spans="2:10" x14ac:dyDescent="0.3">
      <c r="C226" s="248"/>
      <c r="D226" s="248"/>
      <c r="E226" s="248"/>
      <c r="F226" s="248"/>
      <c r="G226" s="248"/>
      <c r="H226" s="248"/>
      <c r="I226" s="248"/>
      <c r="J226" s="248"/>
    </row>
    <row r="227" spans="2:10" x14ac:dyDescent="0.3">
      <c r="B227" s="62" t="str">
        <f>B206</f>
        <v>Scheduled Lease Payment</v>
      </c>
      <c r="C227" s="249"/>
      <c r="D227" s="249"/>
      <c r="E227" s="249"/>
      <c r="F227" s="249"/>
      <c r="G227" s="249"/>
      <c r="H227" s="249"/>
      <c r="I227" s="249"/>
      <c r="J227" s="249">
        <f t="shared" ref="J227:J229" si="75">J206</f>
        <v>150000</v>
      </c>
    </row>
    <row r="228" spans="2:10" x14ac:dyDescent="0.3">
      <c r="B228" s="62" t="str">
        <f t="shared" ref="B228:B229" si="76">B207</f>
        <v>Scheduled Bond Payment</v>
      </c>
      <c r="C228" s="249"/>
      <c r="D228" s="249"/>
      <c r="E228" s="249"/>
      <c r="F228" s="249"/>
      <c r="G228" s="249"/>
      <c r="H228" s="249"/>
      <c r="I228" s="249"/>
      <c r="J228" s="249">
        <f t="shared" si="75"/>
        <v>0</v>
      </c>
    </row>
    <row r="229" spans="2:10" x14ac:dyDescent="0.3">
      <c r="B229" s="62" t="str">
        <f t="shared" si="76"/>
        <v>Improvements / Loan</v>
      </c>
      <c r="C229" s="249"/>
      <c r="D229" s="249"/>
      <c r="E229" s="249"/>
      <c r="F229" s="249"/>
      <c r="G229" s="249"/>
      <c r="H229" s="249"/>
      <c r="I229" s="249"/>
      <c r="J229" s="249">
        <f t="shared" si="75"/>
        <v>0</v>
      </c>
    </row>
    <row r="230" spans="2:10" x14ac:dyDescent="0.3">
      <c r="B230" s="251" t="s">
        <v>196</v>
      </c>
      <c r="C230" s="252"/>
      <c r="D230" s="252"/>
      <c r="E230" s="252"/>
      <c r="F230" s="252"/>
      <c r="G230" s="252"/>
      <c r="H230" s="252"/>
      <c r="I230" s="252"/>
      <c r="J230" s="252">
        <f t="shared" ref="J230" si="77">SUM(J227:J229)</f>
        <v>150000</v>
      </c>
    </row>
    <row r="231" spans="2:10" x14ac:dyDescent="0.3">
      <c r="C231" s="248"/>
      <c r="D231" s="248"/>
      <c r="E231" s="248"/>
      <c r="F231" s="248"/>
      <c r="G231" s="248"/>
      <c r="H231" s="248"/>
      <c r="I231" s="248"/>
      <c r="J231" s="248"/>
    </row>
    <row r="232" spans="2:10" x14ac:dyDescent="0.3">
      <c r="B232" s="246" t="s">
        <v>197</v>
      </c>
      <c r="C232" s="253"/>
      <c r="D232" s="253"/>
      <c r="E232" s="253"/>
      <c r="F232" s="253"/>
      <c r="G232" s="253"/>
      <c r="H232" s="253"/>
      <c r="I232" s="253"/>
      <c r="J232" s="253">
        <f t="shared" ref="J232" si="78">J225/J230</f>
        <v>1.2702685199099997</v>
      </c>
    </row>
    <row r="233" spans="2:10" x14ac:dyDescent="0.3">
      <c r="C233" s="248"/>
      <c r="D233" s="248"/>
      <c r="E233" s="248"/>
      <c r="F233" s="248"/>
      <c r="G233" s="248"/>
      <c r="H233" s="248"/>
      <c r="I233" s="248"/>
      <c r="J233" s="248"/>
    </row>
    <row r="234" spans="2:10" x14ac:dyDescent="0.3">
      <c r="B234" s="254" t="s">
        <v>198</v>
      </c>
      <c r="C234" s="254"/>
      <c r="D234" s="254"/>
      <c r="E234" s="254"/>
      <c r="F234" s="254"/>
      <c r="G234" s="254"/>
      <c r="H234" s="254"/>
      <c r="I234" s="254"/>
      <c r="J234" s="254"/>
    </row>
    <row r="235" spans="2:10" x14ac:dyDescent="0.3">
      <c r="B235" s="62" t="s">
        <v>199</v>
      </c>
      <c r="C235" s="255"/>
      <c r="D235" s="255"/>
      <c r="E235" s="255"/>
      <c r="F235" s="255"/>
      <c r="G235" s="255"/>
      <c r="H235" s="255"/>
      <c r="I235" s="255"/>
      <c r="J235" s="255">
        <f t="shared" ref="J235" si="79">H238</f>
        <v>0</v>
      </c>
    </row>
    <row r="236" spans="2:10" x14ac:dyDescent="0.3">
      <c r="B236" s="248" t="s">
        <v>200</v>
      </c>
      <c r="C236" s="256"/>
      <c r="D236" s="256"/>
      <c r="E236" s="256"/>
      <c r="F236" s="256"/>
      <c r="G236" s="256"/>
      <c r="H236" s="256"/>
      <c r="I236" s="256"/>
      <c r="J236" s="256">
        <v>0</v>
      </c>
    </row>
    <row r="237" spans="2:10" x14ac:dyDescent="0.3">
      <c r="B237" s="248" t="s">
        <v>201</v>
      </c>
      <c r="C237" s="256"/>
      <c r="D237" s="256"/>
      <c r="E237" s="256"/>
      <c r="F237" s="256"/>
      <c r="G237" s="256"/>
      <c r="H237" s="256"/>
      <c r="I237" s="256"/>
      <c r="J237" s="256">
        <f t="shared" ref="J237" si="80">J211</f>
        <v>40540.277986499947</v>
      </c>
    </row>
    <row r="238" spans="2:10" x14ac:dyDescent="0.3">
      <c r="B238" s="257" t="s">
        <v>202</v>
      </c>
      <c r="C238" s="258"/>
      <c r="D238" s="258"/>
      <c r="E238" s="258"/>
      <c r="F238" s="258"/>
      <c r="G238" s="258"/>
      <c r="H238" s="258"/>
      <c r="I238" s="258"/>
      <c r="J238" s="258">
        <f t="shared" ref="J238" si="81">J235+J236+J237</f>
        <v>40540.277986499947</v>
      </c>
    </row>
    <row r="239" spans="2:10" x14ac:dyDescent="0.3">
      <c r="B239" s="246" t="s">
        <v>203</v>
      </c>
      <c r="C239" s="253"/>
      <c r="D239" s="253"/>
      <c r="E239" s="253"/>
      <c r="F239" s="253"/>
      <c r="G239" s="253"/>
      <c r="H239" s="253"/>
      <c r="I239" s="253"/>
      <c r="J239" s="253">
        <f t="shared" ref="J239" si="82">J238/((SUM(J203:J209))/365)</f>
        <v>5.0662424179649177</v>
      </c>
    </row>
    <row r="241" spans="2:12" x14ac:dyDescent="0.3">
      <c r="D241" s="261"/>
      <c r="E241" s="261"/>
      <c r="F241" s="261"/>
      <c r="G241" s="261"/>
      <c r="H241" s="261"/>
      <c r="I241" s="261"/>
      <c r="J241" s="261"/>
    </row>
    <row r="242" spans="2:12" x14ac:dyDescent="0.3">
      <c r="B242" s="377" t="s">
        <v>308</v>
      </c>
      <c r="C242" s="261"/>
      <c r="D242" s="435"/>
      <c r="E242" s="435"/>
      <c r="F242" s="435"/>
      <c r="G242" s="435"/>
      <c r="H242" s="435"/>
      <c r="I242" s="435"/>
      <c r="J242" s="261">
        <f>J128/SUM(J203:J208)</f>
        <v>0.37557200484864761</v>
      </c>
      <c r="K242" s="219"/>
      <c r="L242" s="223"/>
    </row>
    <row r="243" spans="2:12" x14ac:dyDescent="0.3">
      <c r="B243" s="377" t="s">
        <v>231</v>
      </c>
      <c r="C243" s="261"/>
      <c r="D243" s="435"/>
      <c r="E243" s="435"/>
      <c r="F243" s="435"/>
      <c r="G243" s="435"/>
      <c r="H243" s="435"/>
      <c r="I243" s="435"/>
      <c r="J243" s="261">
        <f>SUM(J129:J132)/SUM(J203:J208)</f>
        <v>0.19065063128504481</v>
      </c>
      <c r="K243" s="219"/>
      <c r="L243" s="223"/>
    </row>
    <row r="244" spans="2:12" x14ac:dyDescent="0.3">
      <c r="B244" s="377" t="s">
        <v>93</v>
      </c>
      <c r="C244" s="261"/>
      <c r="D244" s="435"/>
      <c r="E244" s="435"/>
      <c r="F244" s="435"/>
      <c r="G244" s="435"/>
      <c r="H244" s="435"/>
      <c r="I244" s="435"/>
      <c r="J244" s="261">
        <f t="shared" ref="J244" si="83">J154/SUM(J203:J208)</f>
        <v>2.3624110793159839E-3</v>
      </c>
      <c r="K244" s="219"/>
      <c r="L244" s="223"/>
    </row>
    <row r="245" spans="2:12" x14ac:dyDescent="0.3">
      <c r="B245" s="377" t="s">
        <v>309</v>
      </c>
      <c r="C245" s="261"/>
      <c r="D245" s="435"/>
      <c r="E245" s="435"/>
      <c r="F245" s="435"/>
      <c r="G245" s="435"/>
      <c r="H245" s="435"/>
      <c r="I245" s="435"/>
      <c r="J245" s="261">
        <f t="shared" ref="J245" si="84">(J152+J153+J160+J162)/SUM(J203:J208)</f>
        <v>5.3216557709061162E-2</v>
      </c>
      <c r="K245" s="219"/>
      <c r="L245" s="223"/>
    </row>
    <row r="246" spans="2:12" x14ac:dyDescent="0.3">
      <c r="B246" s="377" t="s">
        <v>310</v>
      </c>
      <c r="C246" s="261"/>
      <c r="D246" s="435"/>
      <c r="E246" s="435"/>
      <c r="F246" s="435"/>
      <c r="G246" s="435"/>
      <c r="H246" s="435"/>
      <c r="I246" s="435"/>
      <c r="J246" s="261">
        <f>(J151+J150+J134)/SUM(J203:J208)</f>
        <v>3.4708612052993894E-2</v>
      </c>
      <c r="K246" s="219"/>
      <c r="L246" s="223"/>
    </row>
    <row r="247" spans="2:12" x14ac:dyDescent="0.3">
      <c r="B247" s="377" t="s">
        <v>311</v>
      </c>
      <c r="C247" s="261"/>
      <c r="D247" s="435"/>
      <c r="E247" s="435"/>
      <c r="F247" s="435"/>
      <c r="G247" s="435"/>
      <c r="H247" s="435"/>
      <c r="I247" s="435"/>
      <c r="J247" s="261">
        <f t="shared" ref="J247" si="85">(J170+J140)/SUM(J203:J208)</f>
        <v>5.4780546766747453E-3</v>
      </c>
      <c r="K247" s="219"/>
      <c r="L247" s="223"/>
    </row>
    <row r="248" spans="2:12" x14ac:dyDescent="0.3">
      <c r="B248" s="377" t="s">
        <v>79</v>
      </c>
      <c r="C248" s="261"/>
      <c r="D248" s="435"/>
      <c r="E248" s="435"/>
      <c r="F248" s="435"/>
      <c r="G248" s="435"/>
      <c r="H248" s="435"/>
      <c r="I248" s="435"/>
      <c r="J248" s="261">
        <f>(J138+J142+J143+J144+J145+J146)/SUM(J203:J208)</f>
        <v>2.475190529972025E-2</v>
      </c>
      <c r="K248" s="219"/>
      <c r="L248" s="223"/>
    </row>
    <row r="249" spans="2:12" x14ac:dyDescent="0.3">
      <c r="B249" s="377" t="s">
        <v>312</v>
      </c>
      <c r="C249" s="261"/>
      <c r="D249" s="435"/>
      <c r="E249" s="435"/>
      <c r="F249" s="435"/>
      <c r="G249" s="435"/>
      <c r="H249" s="435"/>
      <c r="I249" s="435"/>
      <c r="J249" s="261">
        <f>(J177+J201+J206+J207+J208)/SUM(J203:J208)</f>
        <v>0.110846724490427</v>
      </c>
      <c r="K249" s="219"/>
      <c r="L249" s="223"/>
    </row>
    <row r="250" spans="2:12" x14ac:dyDescent="0.3">
      <c r="B250" s="377" t="s">
        <v>49</v>
      </c>
      <c r="C250" s="261"/>
      <c r="D250" s="435"/>
      <c r="E250" s="435"/>
      <c r="F250" s="435"/>
      <c r="G250" s="435"/>
      <c r="H250" s="435"/>
      <c r="I250" s="435"/>
      <c r="J250" s="261">
        <f t="shared" ref="J250" si="86">(J179)/SUM(J203:J208)</f>
        <v>9.1425308769528577E-2</v>
      </c>
      <c r="K250" s="261"/>
      <c r="L250" s="223"/>
    </row>
    <row r="251" spans="2:12" x14ac:dyDescent="0.3">
      <c r="B251" s="377" t="s">
        <v>171</v>
      </c>
      <c r="C251" s="261"/>
      <c r="D251" s="435"/>
      <c r="E251" s="435"/>
      <c r="F251" s="435"/>
      <c r="G251" s="435"/>
      <c r="H251" s="435"/>
      <c r="I251" s="435"/>
      <c r="J251" s="261">
        <f t="shared" ref="J251" si="87">(J147)/SUM(J203:J208)</f>
        <v>0</v>
      </c>
      <c r="K251" s="219"/>
      <c r="L251" s="223"/>
    </row>
    <row r="252" spans="2:12" x14ac:dyDescent="0.3">
      <c r="B252" s="377" t="s">
        <v>313</v>
      </c>
      <c r="C252" s="261"/>
      <c r="D252" s="435"/>
      <c r="E252" s="435"/>
      <c r="F252" s="435"/>
      <c r="G252" s="435"/>
      <c r="H252" s="435"/>
      <c r="I252" s="435"/>
      <c r="J252" s="261">
        <f t="shared" ref="J252" si="88">J181/SUM(J203:J208)</f>
        <v>1.7118920864608578E-3</v>
      </c>
      <c r="K252" s="219"/>
      <c r="L252" s="223"/>
    </row>
    <row r="253" spans="2:12" x14ac:dyDescent="0.3">
      <c r="B253" s="377" t="s">
        <v>314</v>
      </c>
      <c r="C253" s="261"/>
      <c r="D253" s="435"/>
      <c r="E253" s="435"/>
      <c r="F253" s="435"/>
      <c r="G253" s="435"/>
      <c r="H253" s="435"/>
      <c r="I253" s="435"/>
      <c r="J253" s="261">
        <f t="shared" ref="J253" si="89">(J155+J156)/SUM(J203:J208)</f>
        <v>8.5594604323042892E-3</v>
      </c>
      <c r="K253" s="219"/>
      <c r="L253" s="223"/>
    </row>
    <row r="254" spans="2:12" x14ac:dyDescent="0.3">
      <c r="B254" s="377" t="s">
        <v>315</v>
      </c>
      <c r="C254" s="261"/>
      <c r="D254" s="435"/>
      <c r="E254" s="435"/>
      <c r="F254" s="435"/>
      <c r="G254" s="435"/>
      <c r="H254" s="435"/>
      <c r="I254" s="435"/>
      <c r="J254" s="261">
        <f t="shared" ref="J254" si="90">(J157+J158+J165+J166+J167+J169+J171)/SUM(J203:J208)</f>
        <v>1.9253307918007976E-2</v>
      </c>
      <c r="K254" s="219"/>
      <c r="L254" s="223"/>
    </row>
    <row r="255" spans="2:12" x14ac:dyDescent="0.3">
      <c r="B255" s="377" t="s">
        <v>116</v>
      </c>
      <c r="C255" s="261"/>
      <c r="D255" s="435"/>
      <c r="E255" s="435"/>
      <c r="F255" s="435"/>
      <c r="G255" s="435"/>
      <c r="H255" s="435"/>
      <c r="I255" s="435"/>
      <c r="J255" s="261">
        <f>(J159+J168+J180+J182+J183+J185+J187+J133+J186)/SUM(J203:J208)</f>
        <v>1.5648684855307148E-2</v>
      </c>
      <c r="K255" s="261"/>
      <c r="L255" s="223"/>
    </row>
    <row r="256" spans="2:12" x14ac:dyDescent="0.3">
      <c r="B256"/>
      <c r="C256"/>
      <c r="D256"/>
      <c r="E256"/>
      <c r="F256"/>
      <c r="G256"/>
      <c r="H256"/>
      <c r="I256"/>
      <c r="J256"/>
      <c r="K256" s="219"/>
    </row>
    <row r="257" spans="2:12" x14ac:dyDescent="0.3">
      <c r="B257"/>
      <c r="C257" s="378"/>
      <c r="D257" s="378"/>
      <c r="E257" s="378"/>
      <c r="F257" s="378"/>
      <c r="G257" s="378"/>
      <c r="H257" s="378"/>
      <c r="I257" s="378"/>
      <c r="J257" s="378">
        <f>SUM(J242:J256)</f>
        <v>0.93418555550349425</v>
      </c>
      <c r="K257" s="219"/>
      <c r="L257" s="378"/>
    </row>
    <row r="259" spans="2:12" x14ac:dyDescent="0.3">
      <c r="D259" s="379"/>
      <c r="E259" s="379"/>
      <c r="F259" s="379"/>
      <c r="G259" s="379"/>
      <c r="H259" s="379"/>
      <c r="I259" s="379"/>
      <c r="J259" s="379"/>
    </row>
  </sheetData>
  <pageMargins left="0.7" right="0.7" top="0.75" bottom="0.75" header="0.3" footer="0.3"/>
  <pageSetup scale="51" orientation="portrait" r:id="rId1"/>
  <rowBreaks count="2" manualBreakCount="2">
    <brk id="70" max="8" man="1"/>
    <brk id="148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59"/>
  <sheetViews>
    <sheetView topLeftCell="A168" zoomScale="75" zoomScaleNormal="75" workbookViewId="0">
      <selection activeCell="B205" sqref="B205"/>
    </sheetView>
  </sheetViews>
  <sheetFormatPr defaultColWidth="8.77734375" defaultRowHeight="14.4" x14ac:dyDescent="0.3"/>
  <cols>
    <col min="1" max="1" width="8.77734375" style="5"/>
    <col min="2" max="2" width="56.5546875" style="219" customWidth="1"/>
    <col min="3" max="9" width="15.77734375" style="125" customWidth="1"/>
    <col min="10" max="10" width="15.109375" style="240" customWidth="1"/>
    <col min="11" max="11" width="12.21875" style="219" bestFit="1" customWidth="1"/>
    <col min="12" max="12" width="14.44140625" style="219" customWidth="1"/>
    <col min="13" max="13" width="13.33203125" style="219" bestFit="1" customWidth="1"/>
    <col min="14" max="15" width="11.109375" style="219" bestFit="1" customWidth="1"/>
    <col min="16" max="16384" width="8.77734375" style="219"/>
  </cols>
  <sheetData>
    <row r="1" spans="1:16" s="2" customFormat="1" ht="15" thickBot="1" x14ac:dyDescent="0.35">
      <c r="A1" s="1"/>
      <c r="B1" s="3" t="s">
        <v>389</v>
      </c>
      <c r="C1" s="3" t="s">
        <v>386</v>
      </c>
      <c r="D1" s="3" t="s">
        <v>376</v>
      </c>
      <c r="E1" s="3" t="s">
        <v>16</v>
      </c>
      <c r="F1" s="3" t="s">
        <v>49</v>
      </c>
      <c r="G1" s="3" t="s">
        <v>393</v>
      </c>
      <c r="H1" s="3" t="s">
        <v>394</v>
      </c>
      <c r="I1" s="3" t="s">
        <v>158</v>
      </c>
      <c r="J1" s="224"/>
      <c r="K1" s="3">
        <v>7197</v>
      </c>
      <c r="L1" s="241" t="s">
        <v>148</v>
      </c>
    </row>
    <row r="2" spans="1:16" x14ac:dyDescent="0.3">
      <c r="B2" s="6" t="s">
        <v>329</v>
      </c>
      <c r="C2" s="140">
        <f>'23-24'!J2*1.013</f>
        <v>7484.0352274199986</v>
      </c>
      <c r="D2" s="140"/>
      <c r="E2" s="140"/>
      <c r="F2" s="140"/>
      <c r="G2" s="140"/>
      <c r="H2" s="140"/>
      <c r="I2" s="140">
        <f>SUM(C2:H2)</f>
        <v>7484.0352274199986</v>
      </c>
      <c r="J2" s="168"/>
      <c r="K2" s="169">
        <f>(I2-K1)/K1</f>
        <v>3.9882621567319518E-2</v>
      </c>
      <c r="L2" s="169"/>
      <c r="M2" s="169"/>
      <c r="N2" s="169"/>
    </row>
    <row r="3" spans="1:16" hidden="1" x14ac:dyDescent="0.3">
      <c r="B3" s="9"/>
      <c r="C3" s="157"/>
      <c r="D3" s="157"/>
      <c r="E3" s="157"/>
      <c r="F3" s="157"/>
      <c r="G3" s="157"/>
      <c r="H3" s="157"/>
      <c r="I3" s="157"/>
      <c r="J3" s="168"/>
      <c r="K3" s="169"/>
      <c r="L3" s="169"/>
      <c r="M3" s="169"/>
      <c r="N3" s="169"/>
    </row>
    <row r="4" spans="1:16" hidden="1" x14ac:dyDescent="0.3">
      <c r="B4" s="9"/>
      <c r="C4" s="157"/>
      <c r="D4" s="157"/>
      <c r="E4" s="157"/>
      <c r="F4" s="157"/>
      <c r="G4" s="157"/>
      <c r="H4" s="157"/>
      <c r="I4" s="157"/>
      <c r="J4" s="168"/>
      <c r="K4" s="169"/>
      <c r="L4" s="169"/>
      <c r="M4" s="169"/>
      <c r="N4" s="169"/>
    </row>
    <row r="5" spans="1:16" x14ac:dyDescent="0.3">
      <c r="B5" s="9" t="s">
        <v>1</v>
      </c>
      <c r="C5" s="141">
        <f t="shared" ref="C5" si="0">C6+C7+C8+C9+C10+C11+C12+C13+C14+C15+C16+C17+C18</f>
        <v>450</v>
      </c>
      <c r="D5" s="141"/>
      <c r="E5" s="141"/>
      <c r="F5" s="141"/>
      <c r="G5" s="141"/>
      <c r="H5" s="141"/>
      <c r="I5" s="141">
        <f t="shared" ref="I5:I18" si="1">SUM(C5:H5)</f>
        <v>450</v>
      </c>
      <c r="J5" s="225"/>
    </row>
    <row r="6" spans="1:16" x14ac:dyDescent="0.3">
      <c r="B6" s="12" t="s">
        <v>2</v>
      </c>
      <c r="C6" s="142">
        <v>0</v>
      </c>
      <c r="D6" s="142"/>
      <c r="E6" s="142"/>
      <c r="F6" s="142"/>
      <c r="G6" s="142"/>
      <c r="H6" s="142"/>
      <c r="I6" s="142">
        <f t="shared" si="1"/>
        <v>0</v>
      </c>
      <c r="J6" s="225"/>
      <c r="K6" s="166">
        <f t="shared" ref="K6:K11" si="2">I6/28</f>
        <v>0</v>
      </c>
      <c r="L6" s="166"/>
      <c r="M6" s="166"/>
      <c r="N6" s="166"/>
      <c r="P6" s="166"/>
    </row>
    <row r="7" spans="1:16" x14ac:dyDescent="0.3">
      <c r="B7" s="15" t="s">
        <v>3</v>
      </c>
      <c r="C7" s="142">
        <v>0</v>
      </c>
      <c r="D7" s="142"/>
      <c r="E7" s="142"/>
      <c r="F7" s="142"/>
      <c r="G7" s="142"/>
      <c r="H7" s="142"/>
      <c r="I7" s="142">
        <f t="shared" si="1"/>
        <v>0</v>
      </c>
      <c r="J7" s="225"/>
      <c r="K7" s="166">
        <f t="shared" si="2"/>
        <v>0</v>
      </c>
      <c r="L7" s="166"/>
      <c r="M7" s="166"/>
      <c r="N7" s="166"/>
      <c r="P7" s="166"/>
    </row>
    <row r="8" spans="1:16" x14ac:dyDescent="0.3">
      <c r="B8" s="15" t="s">
        <v>4</v>
      </c>
      <c r="C8" s="142">
        <v>0</v>
      </c>
      <c r="D8" s="142"/>
      <c r="E8" s="142"/>
      <c r="F8" s="142"/>
      <c r="G8" s="142"/>
      <c r="H8" s="142"/>
      <c r="I8" s="142">
        <f t="shared" si="1"/>
        <v>0</v>
      </c>
      <c r="J8" s="225"/>
      <c r="K8" s="166">
        <f t="shared" si="2"/>
        <v>0</v>
      </c>
      <c r="L8" s="166"/>
      <c r="M8" s="166"/>
      <c r="N8" s="166"/>
      <c r="P8" s="166"/>
    </row>
    <row r="9" spans="1:16" x14ac:dyDescent="0.3">
      <c r="B9" s="16" t="s">
        <v>5</v>
      </c>
      <c r="C9" s="142">
        <v>0</v>
      </c>
      <c r="D9" s="142"/>
      <c r="E9" s="142"/>
      <c r="F9" s="142"/>
      <c r="G9" s="142"/>
      <c r="H9" s="142"/>
      <c r="I9" s="142">
        <f t="shared" si="1"/>
        <v>0</v>
      </c>
      <c r="J9" s="225"/>
      <c r="K9" s="166">
        <f t="shared" si="2"/>
        <v>0</v>
      </c>
      <c r="L9" s="166"/>
      <c r="M9" s="166"/>
      <c r="N9" s="166"/>
      <c r="P9" s="166"/>
    </row>
    <row r="10" spans="1:16" x14ac:dyDescent="0.3">
      <c r="B10" s="16" t="s">
        <v>6</v>
      </c>
      <c r="C10" s="142">
        <v>0</v>
      </c>
      <c r="D10" s="142"/>
      <c r="E10" s="142"/>
      <c r="F10" s="142"/>
      <c r="G10" s="142"/>
      <c r="H10" s="142"/>
      <c r="I10" s="142">
        <f t="shared" si="1"/>
        <v>0</v>
      </c>
      <c r="J10" s="225"/>
      <c r="K10" s="166">
        <f t="shared" si="2"/>
        <v>0</v>
      </c>
      <c r="L10" s="166"/>
      <c r="M10" s="166"/>
      <c r="N10" s="166"/>
      <c r="P10" s="166"/>
    </row>
    <row r="11" spans="1:16" x14ac:dyDescent="0.3">
      <c r="B11" s="16" t="s">
        <v>7</v>
      </c>
      <c r="C11" s="142">
        <v>0</v>
      </c>
      <c r="D11" s="142"/>
      <c r="E11" s="142"/>
      <c r="F11" s="142"/>
      <c r="G11" s="142"/>
      <c r="H11" s="142"/>
      <c r="I11" s="142">
        <f t="shared" si="1"/>
        <v>0</v>
      </c>
      <c r="J11" s="225"/>
      <c r="K11" s="166">
        <f t="shared" si="2"/>
        <v>0</v>
      </c>
      <c r="L11" s="166"/>
      <c r="M11" s="166"/>
      <c r="N11" s="166"/>
      <c r="P11" s="166"/>
    </row>
    <row r="12" spans="1:16" x14ac:dyDescent="0.3">
      <c r="B12" s="16" t="s">
        <v>8</v>
      </c>
      <c r="C12" s="143">
        <f>30*3</f>
        <v>90</v>
      </c>
      <c r="D12" s="143"/>
      <c r="E12" s="143"/>
      <c r="F12" s="143"/>
      <c r="G12" s="143"/>
      <c r="H12" s="143"/>
      <c r="I12" s="142">
        <f t="shared" si="1"/>
        <v>90</v>
      </c>
      <c r="J12" s="225"/>
      <c r="K12" s="166">
        <f>I12/30</f>
        <v>3</v>
      </c>
      <c r="L12" s="166"/>
      <c r="M12" s="166"/>
      <c r="N12" s="166"/>
      <c r="P12" s="166"/>
    </row>
    <row r="13" spans="1:16" x14ac:dyDescent="0.3">
      <c r="B13" s="16" t="s">
        <v>9</v>
      </c>
      <c r="C13" s="143">
        <f>30*3</f>
        <v>90</v>
      </c>
      <c r="D13" s="143"/>
      <c r="E13" s="143"/>
      <c r="F13" s="143"/>
      <c r="G13" s="143"/>
      <c r="H13" s="143"/>
      <c r="I13" s="142">
        <f t="shared" si="1"/>
        <v>90</v>
      </c>
      <c r="J13" s="225"/>
      <c r="K13" s="166">
        <f t="shared" ref="K13:K18" si="3">I13/30</f>
        <v>3</v>
      </c>
      <c r="L13" s="166"/>
      <c r="M13" s="166"/>
      <c r="N13" s="166"/>
      <c r="P13" s="166"/>
    </row>
    <row r="14" spans="1:16" x14ac:dyDescent="0.3">
      <c r="B14" s="16" t="s">
        <v>10</v>
      </c>
      <c r="C14" s="143">
        <f>30*3</f>
        <v>90</v>
      </c>
      <c r="D14" s="143"/>
      <c r="E14" s="143"/>
      <c r="F14" s="143"/>
      <c r="G14" s="143"/>
      <c r="H14" s="143"/>
      <c r="I14" s="142">
        <f t="shared" si="1"/>
        <v>90</v>
      </c>
      <c r="J14" s="225"/>
      <c r="K14" s="166">
        <f t="shared" si="3"/>
        <v>3</v>
      </c>
      <c r="L14" s="166"/>
      <c r="M14" s="166"/>
      <c r="N14" s="166"/>
      <c r="P14" s="166"/>
    </row>
    <row r="15" spans="1:16" x14ac:dyDescent="0.3">
      <c r="B15" s="16" t="s">
        <v>11</v>
      </c>
      <c r="C15" s="143">
        <f>30*2</f>
        <v>60</v>
      </c>
      <c r="D15" s="143"/>
      <c r="E15" s="143"/>
      <c r="F15" s="143"/>
      <c r="G15" s="143"/>
      <c r="H15" s="143"/>
      <c r="I15" s="142">
        <f t="shared" si="1"/>
        <v>60</v>
      </c>
      <c r="J15" s="225"/>
      <c r="K15" s="166">
        <f t="shared" si="3"/>
        <v>2</v>
      </c>
      <c r="L15" s="166"/>
      <c r="M15" s="166"/>
      <c r="N15" s="166"/>
    </row>
    <row r="16" spans="1:16" x14ac:dyDescent="0.3">
      <c r="B16" s="16" t="s">
        <v>12</v>
      </c>
      <c r="C16" s="143">
        <f>30*2</f>
        <v>60</v>
      </c>
      <c r="D16" s="143"/>
      <c r="E16" s="143"/>
      <c r="F16" s="143"/>
      <c r="G16" s="143"/>
      <c r="H16" s="143"/>
      <c r="I16" s="142">
        <f t="shared" si="1"/>
        <v>60</v>
      </c>
      <c r="J16" s="225"/>
      <c r="K16" s="166">
        <f t="shared" si="3"/>
        <v>2</v>
      </c>
      <c r="L16" s="166"/>
      <c r="M16" s="166"/>
      <c r="N16" s="166"/>
    </row>
    <row r="17" spans="1:14" x14ac:dyDescent="0.3">
      <c r="B17" s="16" t="s">
        <v>13</v>
      </c>
      <c r="C17" s="143">
        <f>30*2</f>
        <v>60</v>
      </c>
      <c r="D17" s="143"/>
      <c r="E17" s="143"/>
      <c r="F17" s="143"/>
      <c r="G17" s="143"/>
      <c r="H17" s="143"/>
      <c r="I17" s="142">
        <f t="shared" si="1"/>
        <v>60</v>
      </c>
      <c r="J17" s="225"/>
      <c r="K17" s="166">
        <f t="shared" si="3"/>
        <v>2</v>
      </c>
      <c r="L17" s="166"/>
      <c r="M17" s="166"/>
      <c r="N17" s="166"/>
    </row>
    <row r="18" spans="1:14" x14ac:dyDescent="0.3">
      <c r="B18" s="16" t="s">
        <v>14</v>
      </c>
      <c r="C18" s="143">
        <v>0</v>
      </c>
      <c r="D18" s="143"/>
      <c r="E18" s="143"/>
      <c r="F18" s="143"/>
      <c r="G18" s="143"/>
      <c r="H18" s="143"/>
      <c r="I18" s="142">
        <f t="shared" si="1"/>
        <v>0</v>
      </c>
      <c r="J18" s="225"/>
      <c r="K18" s="166">
        <f t="shared" si="3"/>
        <v>0</v>
      </c>
      <c r="L18" s="166"/>
      <c r="M18" s="166"/>
      <c r="N18" s="166"/>
    </row>
    <row r="19" spans="1:14" x14ac:dyDescent="0.3">
      <c r="B19" s="16" t="s">
        <v>1</v>
      </c>
      <c r="C19" s="141">
        <f t="shared" ref="C19" si="4">SUM(C6:C18)</f>
        <v>450</v>
      </c>
      <c r="D19" s="141">
        <f t="shared" ref="D19:G19" si="5">SUM(D6:D18)</f>
        <v>0</v>
      </c>
      <c r="E19" s="141">
        <f t="shared" si="5"/>
        <v>0</v>
      </c>
      <c r="F19" s="141">
        <f t="shared" si="5"/>
        <v>0</v>
      </c>
      <c r="G19" s="141">
        <f t="shared" si="5"/>
        <v>0</v>
      </c>
      <c r="H19" s="141"/>
      <c r="I19" s="141">
        <f>SUM(I6:I18)</f>
        <v>450</v>
      </c>
      <c r="J19" s="440"/>
      <c r="K19" s="220">
        <f>SUM(K6:K18)</f>
        <v>15</v>
      </c>
      <c r="L19" s="220"/>
      <c r="M19" s="220"/>
      <c r="N19" s="220"/>
    </row>
    <row r="20" spans="1:14" x14ac:dyDescent="0.3">
      <c r="B20" s="17"/>
      <c r="C20" s="366"/>
      <c r="D20" s="143"/>
      <c r="E20" s="366"/>
      <c r="F20" s="366"/>
      <c r="G20" s="366"/>
      <c r="H20" s="366"/>
      <c r="I20" s="366"/>
      <c r="J20" s="440"/>
      <c r="K20" s="219" t="b">
        <f>ROUND(K19,0)=ROUND(I29,0)</f>
        <v>1</v>
      </c>
    </row>
    <row r="21" spans="1:14" x14ac:dyDescent="0.3">
      <c r="B21" s="19" t="s">
        <v>15</v>
      </c>
      <c r="C21" s="144"/>
      <c r="D21" s="144"/>
      <c r="E21" s="144"/>
      <c r="F21" s="144"/>
      <c r="G21" s="144"/>
      <c r="H21" s="144"/>
      <c r="I21" s="144"/>
      <c r="J21" s="440"/>
    </row>
    <row r="22" spans="1:14" x14ac:dyDescent="0.3">
      <c r="B22" s="411" t="s">
        <v>336</v>
      </c>
      <c r="C22" s="145"/>
      <c r="D22" s="145"/>
      <c r="E22" s="143">
        <f>C19*0.12</f>
        <v>54</v>
      </c>
      <c r="F22" s="143"/>
      <c r="G22" s="143"/>
      <c r="H22" s="143"/>
      <c r="I22" s="143">
        <f>SUM(C22:H22)</f>
        <v>54</v>
      </c>
      <c r="J22" s="438">
        <f>C19*0.12</f>
        <v>54</v>
      </c>
      <c r="K22" s="221">
        <f>I22/21</f>
        <v>2.5714285714285716</v>
      </c>
      <c r="L22" s="221"/>
      <c r="M22" s="221"/>
      <c r="N22" s="221"/>
    </row>
    <row r="23" spans="1:14" x14ac:dyDescent="0.3">
      <c r="B23" s="411" t="s">
        <v>418</v>
      </c>
      <c r="C23" s="145"/>
      <c r="D23" s="143">
        <f>C19*0.21</f>
        <v>94.5</v>
      </c>
      <c r="E23" s="145"/>
      <c r="F23" s="143"/>
      <c r="G23" s="143"/>
      <c r="H23" s="143"/>
      <c r="I23" s="143">
        <f>SUM(C23:H23)</f>
        <v>94.5</v>
      </c>
      <c r="J23" s="438">
        <f>J22/23</f>
        <v>2.347826086956522</v>
      </c>
      <c r="K23" s="244">
        <f>I30-K22</f>
        <v>-7.1428571428571619E-2</v>
      </c>
    </row>
    <row r="24" spans="1:14" x14ac:dyDescent="0.3">
      <c r="B24" s="411" t="s">
        <v>337</v>
      </c>
      <c r="C24" s="145"/>
      <c r="D24" s="145">
        <v>0</v>
      </c>
      <c r="E24" s="145"/>
      <c r="F24" s="145"/>
      <c r="G24" s="145"/>
      <c r="H24" s="145"/>
      <c r="I24" s="143">
        <f>SUM(C24:H24)</f>
        <v>0</v>
      </c>
      <c r="J24" s="440"/>
    </row>
    <row r="25" spans="1:14" x14ac:dyDescent="0.3">
      <c r="B25" s="411" t="s">
        <v>17</v>
      </c>
      <c r="C25" s="145"/>
      <c r="D25" s="412"/>
      <c r="E25" s="412"/>
      <c r="F25" s="412">
        <v>0.86</v>
      </c>
      <c r="G25" s="412"/>
      <c r="H25" s="412"/>
      <c r="I25" s="146">
        <f>SUM(C25:H25)</f>
        <v>0.86</v>
      </c>
      <c r="J25" s="440"/>
    </row>
    <row r="26" spans="1:14" x14ac:dyDescent="0.3">
      <c r="B26" s="411" t="s">
        <v>338</v>
      </c>
      <c r="C26" s="145"/>
      <c r="D26" s="143">
        <f>(C19-E22-D23)*0.86</f>
        <v>259.29000000000002</v>
      </c>
      <c r="E26" s="145"/>
      <c r="F26" s="143"/>
      <c r="G26" s="143"/>
      <c r="H26" s="143"/>
      <c r="I26" s="143">
        <f>SUM(C26:H26)</f>
        <v>259.29000000000002</v>
      </c>
      <c r="J26" s="441"/>
    </row>
    <row r="27" spans="1:14" x14ac:dyDescent="0.3">
      <c r="B27" s="24"/>
      <c r="C27" s="143"/>
      <c r="D27" s="143"/>
      <c r="E27" s="143"/>
      <c r="F27" s="143"/>
      <c r="G27" s="143"/>
      <c r="H27" s="143"/>
      <c r="I27" s="143"/>
      <c r="J27" s="440"/>
    </row>
    <row r="28" spans="1:14" x14ac:dyDescent="0.3">
      <c r="B28" s="19" t="s">
        <v>18</v>
      </c>
      <c r="C28" s="144"/>
      <c r="D28" s="144"/>
      <c r="E28" s="144"/>
      <c r="F28" s="144"/>
      <c r="G28" s="144"/>
      <c r="H28" s="144"/>
      <c r="I28" s="144"/>
      <c r="J28" s="440"/>
      <c r="K28" s="221"/>
    </row>
    <row r="29" spans="1:14" x14ac:dyDescent="0.3">
      <c r="B29" s="25" t="s">
        <v>19</v>
      </c>
      <c r="C29" s="147">
        <v>15</v>
      </c>
      <c r="D29" s="147"/>
      <c r="E29" s="147"/>
      <c r="F29" s="147"/>
      <c r="G29" s="147"/>
      <c r="H29" s="147"/>
      <c r="I29" s="147">
        <f t="shared" ref="I29:I36" si="6">SUM(C29:H29)</f>
        <v>15</v>
      </c>
      <c r="J29" s="438">
        <f>I29/6</f>
        <v>2.5</v>
      </c>
    </row>
    <row r="30" spans="1:14" s="222" customFormat="1" x14ac:dyDescent="0.3">
      <c r="A30" s="27"/>
      <c r="B30" s="25" t="s">
        <v>20</v>
      </c>
      <c r="C30" s="148"/>
      <c r="D30" s="148"/>
      <c r="E30" s="148">
        <v>2.5</v>
      </c>
      <c r="F30" s="148"/>
      <c r="G30" s="148"/>
      <c r="H30" s="148"/>
      <c r="I30" s="147">
        <f t="shared" si="6"/>
        <v>2.5</v>
      </c>
      <c r="J30" s="439"/>
    </row>
    <row r="31" spans="1:14" x14ac:dyDescent="0.3">
      <c r="B31" s="25" t="s">
        <v>21</v>
      </c>
      <c r="C31" s="147">
        <v>1</v>
      </c>
      <c r="D31" s="147"/>
      <c r="E31" s="147"/>
      <c r="F31" s="147"/>
      <c r="G31" s="147"/>
      <c r="H31" s="147"/>
      <c r="I31" s="147">
        <f t="shared" si="6"/>
        <v>1</v>
      </c>
      <c r="J31" s="440"/>
    </row>
    <row r="32" spans="1:14" x14ac:dyDescent="0.3">
      <c r="B32" s="25" t="s">
        <v>22</v>
      </c>
      <c r="C32" s="147">
        <v>1</v>
      </c>
      <c r="D32" s="147"/>
      <c r="E32" s="147"/>
      <c r="F32" s="147"/>
      <c r="G32" s="147"/>
      <c r="H32" s="147"/>
      <c r="I32" s="147">
        <f t="shared" si="6"/>
        <v>1</v>
      </c>
      <c r="J32" s="440"/>
    </row>
    <row r="33" spans="2:11" x14ac:dyDescent="0.3">
      <c r="B33" s="25" t="s">
        <v>23</v>
      </c>
      <c r="C33" s="147">
        <v>0.5</v>
      </c>
      <c r="D33" s="147"/>
      <c r="E33" s="147"/>
      <c r="F33" s="147"/>
      <c r="G33" s="147"/>
      <c r="H33" s="147"/>
      <c r="I33" s="147">
        <f t="shared" si="6"/>
        <v>0.5</v>
      </c>
      <c r="J33" s="440"/>
    </row>
    <row r="34" spans="2:11" x14ac:dyDescent="0.3">
      <c r="B34" s="30" t="s">
        <v>24</v>
      </c>
      <c r="C34" s="147">
        <v>0</v>
      </c>
      <c r="D34" s="147"/>
      <c r="E34" s="147"/>
      <c r="F34" s="147"/>
      <c r="G34" s="147"/>
      <c r="H34" s="147"/>
      <c r="I34" s="147">
        <f t="shared" si="6"/>
        <v>0</v>
      </c>
      <c r="J34" s="440"/>
    </row>
    <row r="35" spans="2:11" x14ac:dyDescent="0.3">
      <c r="B35" s="30" t="s">
        <v>25</v>
      </c>
      <c r="C35" s="147">
        <v>0</v>
      </c>
      <c r="D35" s="147"/>
      <c r="E35" s="147"/>
      <c r="F35" s="147"/>
      <c r="G35" s="147"/>
      <c r="H35" s="147"/>
      <c r="I35" s="147">
        <f t="shared" si="6"/>
        <v>0</v>
      </c>
      <c r="J35" s="440"/>
    </row>
    <row r="36" spans="2:11" x14ac:dyDescent="0.3">
      <c r="B36" s="30" t="s">
        <v>26</v>
      </c>
      <c r="C36" s="147">
        <v>0</v>
      </c>
      <c r="D36" s="147"/>
      <c r="E36" s="147"/>
      <c r="F36" s="147"/>
      <c r="G36" s="147"/>
      <c r="H36" s="147"/>
      <c r="I36" s="147">
        <f t="shared" si="6"/>
        <v>0</v>
      </c>
      <c r="J36" s="440"/>
    </row>
    <row r="37" spans="2:11" x14ac:dyDescent="0.3">
      <c r="B37" s="31" t="s">
        <v>27</v>
      </c>
      <c r="C37" s="149">
        <f t="shared" ref="C37" si="7">SUM(C29:C36)</f>
        <v>17.5</v>
      </c>
      <c r="D37" s="149">
        <f t="shared" ref="D37:I37" si="8">SUM(D29:D36)</f>
        <v>0</v>
      </c>
      <c r="E37" s="149">
        <f t="shared" si="8"/>
        <v>2.5</v>
      </c>
      <c r="F37" s="149">
        <f t="shared" si="8"/>
        <v>0</v>
      </c>
      <c r="G37" s="149">
        <f t="shared" si="8"/>
        <v>0</v>
      </c>
      <c r="H37" s="149"/>
      <c r="I37" s="149">
        <f t="shared" si="8"/>
        <v>20</v>
      </c>
      <c r="J37" s="438"/>
      <c r="K37" s="221"/>
    </row>
    <row r="38" spans="2:11" x14ac:dyDescent="0.3">
      <c r="B38" s="33"/>
      <c r="C38" s="143"/>
      <c r="D38" s="143"/>
      <c r="E38" s="143"/>
      <c r="F38" s="143"/>
      <c r="G38" s="143"/>
      <c r="H38" s="143"/>
      <c r="I38" s="143"/>
      <c r="J38" s="440"/>
    </row>
    <row r="39" spans="2:11" x14ac:dyDescent="0.3">
      <c r="B39" s="19" t="s">
        <v>28</v>
      </c>
      <c r="C39" s="150" t="str">
        <f t="shared" ref="C39" si="9">C1</f>
        <v>Operating</v>
      </c>
      <c r="D39" s="150" t="str">
        <f t="shared" ref="D39:I39" si="10">D1</f>
        <v>Weights</v>
      </c>
      <c r="E39" s="150" t="str">
        <f t="shared" si="10"/>
        <v>SPED</v>
      </c>
      <c r="F39" s="150" t="str">
        <f t="shared" si="10"/>
        <v>NSLP</v>
      </c>
      <c r="G39" s="150" t="str">
        <f t="shared" si="10"/>
        <v>Title 1</v>
      </c>
      <c r="H39" s="150" t="str">
        <f t="shared" si="10"/>
        <v>Title 2</v>
      </c>
      <c r="I39" s="150" t="str">
        <f t="shared" si="10"/>
        <v>Total</v>
      </c>
      <c r="J39" s="230"/>
    </row>
    <row r="40" spans="2:11" hidden="1" x14ac:dyDescent="0.3">
      <c r="B40" s="25" t="s">
        <v>29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/>
      <c r="I40" s="151">
        <v>0</v>
      </c>
      <c r="J40" s="225"/>
    </row>
    <row r="41" spans="2:11" x14ac:dyDescent="0.3">
      <c r="B41" s="25" t="s">
        <v>30</v>
      </c>
      <c r="C41" s="147">
        <v>1</v>
      </c>
      <c r="D41" s="147"/>
      <c r="E41" s="147"/>
      <c r="F41" s="147"/>
      <c r="G41" s="147"/>
      <c r="H41" s="147"/>
      <c r="I41" s="147">
        <f t="shared" ref="I41:I59" si="11">SUM(C41:H41)</f>
        <v>1</v>
      </c>
      <c r="J41" s="225"/>
    </row>
    <row r="42" spans="2:11" x14ac:dyDescent="0.3">
      <c r="B42" s="25" t="s">
        <v>31</v>
      </c>
      <c r="C42" s="147">
        <v>1</v>
      </c>
      <c r="D42" s="147"/>
      <c r="E42" s="147"/>
      <c r="F42" s="147"/>
      <c r="G42" s="147"/>
      <c r="H42" s="147"/>
      <c r="I42" s="147">
        <f t="shared" si="11"/>
        <v>1</v>
      </c>
      <c r="J42" s="225"/>
    </row>
    <row r="43" spans="2:11" x14ac:dyDescent="0.3">
      <c r="B43" s="25" t="s">
        <v>413</v>
      </c>
      <c r="C43" s="147">
        <v>1</v>
      </c>
      <c r="D43" s="147"/>
      <c r="E43" s="147"/>
      <c r="F43" s="147"/>
      <c r="G43" s="147"/>
      <c r="H43" s="147"/>
      <c r="I43" s="147">
        <f t="shared" si="11"/>
        <v>1</v>
      </c>
      <c r="J43" s="225"/>
    </row>
    <row r="44" spans="2:11" x14ac:dyDescent="0.3">
      <c r="B44" s="36" t="s">
        <v>412</v>
      </c>
      <c r="C44" s="147">
        <v>0</v>
      </c>
      <c r="D44" s="147"/>
      <c r="E44" s="147"/>
      <c r="F44" s="147"/>
      <c r="G44" s="147">
        <v>1</v>
      </c>
      <c r="H44" s="147"/>
      <c r="I44" s="147">
        <f t="shared" si="11"/>
        <v>1</v>
      </c>
      <c r="J44" s="225"/>
    </row>
    <row r="45" spans="2:11" x14ac:dyDescent="0.3">
      <c r="B45" s="36" t="s">
        <v>415</v>
      </c>
      <c r="C45" s="147">
        <v>0</v>
      </c>
      <c r="D45" s="147"/>
      <c r="E45" s="147"/>
      <c r="F45" s="147"/>
      <c r="G45" s="147"/>
      <c r="H45" s="147"/>
      <c r="I45" s="147">
        <f t="shared" si="11"/>
        <v>0</v>
      </c>
      <c r="J45" s="225"/>
    </row>
    <row r="46" spans="2:11" x14ac:dyDescent="0.3">
      <c r="B46" s="25" t="s">
        <v>32</v>
      </c>
      <c r="C46" s="147">
        <v>1</v>
      </c>
      <c r="D46" s="147"/>
      <c r="E46" s="147"/>
      <c r="F46" s="147"/>
      <c r="G46" s="147"/>
      <c r="H46" s="147"/>
      <c r="I46" s="147">
        <f t="shared" si="11"/>
        <v>1</v>
      </c>
      <c r="J46" s="225"/>
    </row>
    <row r="47" spans="2:11" x14ac:dyDescent="0.3">
      <c r="B47" s="25" t="s">
        <v>33</v>
      </c>
      <c r="C47" s="148">
        <v>0</v>
      </c>
      <c r="D47" s="147"/>
      <c r="E47" s="147"/>
      <c r="F47" s="147"/>
      <c r="G47" s="147"/>
      <c r="H47" s="147"/>
      <c r="I47" s="147">
        <f t="shared" si="11"/>
        <v>0</v>
      </c>
      <c r="J47" s="225"/>
    </row>
    <row r="48" spans="2:11" x14ac:dyDescent="0.3">
      <c r="B48" s="25" t="s">
        <v>34</v>
      </c>
      <c r="C48" s="147">
        <v>0</v>
      </c>
      <c r="D48" s="147"/>
      <c r="E48" s="147"/>
      <c r="F48" s="147"/>
      <c r="G48" s="147"/>
      <c r="H48" s="147"/>
      <c r="I48" s="147">
        <f t="shared" si="11"/>
        <v>0</v>
      </c>
      <c r="J48" s="225"/>
    </row>
    <row r="49" spans="2:14" x14ac:dyDescent="0.3">
      <c r="B49" s="25" t="s">
        <v>35</v>
      </c>
      <c r="C49" s="147">
        <v>1</v>
      </c>
      <c r="D49" s="147"/>
      <c r="E49" s="147"/>
      <c r="F49" s="147"/>
      <c r="G49" s="147"/>
      <c r="H49" s="147"/>
      <c r="I49" s="147">
        <f t="shared" si="11"/>
        <v>1</v>
      </c>
      <c r="J49" s="225"/>
    </row>
    <row r="50" spans="2:14" x14ac:dyDescent="0.3">
      <c r="B50" s="25" t="s">
        <v>427</v>
      </c>
      <c r="C50" s="147">
        <v>0</v>
      </c>
      <c r="D50" s="147">
        <v>0</v>
      </c>
      <c r="E50" s="147">
        <v>0</v>
      </c>
      <c r="F50" s="147"/>
      <c r="G50" s="147">
        <v>3</v>
      </c>
      <c r="H50" s="147"/>
      <c r="I50" s="147">
        <f t="shared" si="11"/>
        <v>3</v>
      </c>
      <c r="J50" s="225"/>
      <c r="K50" s="221"/>
      <c r="L50" s="221"/>
      <c r="M50" s="221"/>
      <c r="N50" s="221"/>
    </row>
    <row r="51" spans="2:14" x14ac:dyDescent="0.3">
      <c r="B51" s="488" t="s">
        <v>458</v>
      </c>
      <c r="C51" s="147">
        <v>1</v>
      </c>
      <c r="D51" s="147"/>
      <c r="E51" s="147"/>
      <c r="F51" s="147"/>
      <c r="G51" s="147"/>
      <c r="H51" s="147"/>
      <c r="I51" s="147">
        <f t="shared" si="11"/>
        <v>1</v>
      </c>
      <c r="J51" s="225"/>
    </row>
    <row r="52" spans="2:14" x14ac:dyDescent="0.3">
      <c r="B52" s="25" t="s">
        <v>414</v>
      </c>
      <c r="C52" s="147">
        <v>0</v>
      </c>
      <c r="D52" s="147"/>
      <c r="E52" s="147"/>
      <c r="F52" s="147">
        <v>1</v>
      </c>
      <c r="G52" s="147"/>
      <c r="H52" s="147"/>
      <c r="I52" s="147">
        <f t="shared" si="11"/>
        <v>1</v>
      </c>
      <c r="J52" s="225"/>
    </row>
    <row r="53" spans="2:14" x14ac:dyDescent="0.3">
      <c r="B53" s="37" t="s">
        <v>37</v>
      </c>
      <c r="C53" s="147">
        <v>0</v>
      </c>
      <c r="D53" s="147"/>
      <c r="E53" s="147"/>
      <c r="F53" s="147"/>
      <c r="G53" s="147"/>
      <c r="H53" s="147"/>
      <c r="I53" s="147">
        <f t="shared" si="11"/>
        <v>0</v>
      </c>
      <c r="J53" s="225"/>
    </row>
    <row r="54" spans="2:14" x14ac:dyDescent="0.3">
      <c r="B54" s="37" t="s">
        <v>38</v>
      </c>
      <c r="C54" s="147">
        <v>0</v>
      </c>
      <c r="D54" s="147"/>
      <c r="E54" s="147"/>
      <c r="F54" s="147"/>
      <c r="G54" s="147"/>
      <c r="H54" s="147"/>
      <c r="I54" s="147">
        <f t="shared" si="11"/>
        <v>0</v>
      </c>
      <c r="J54" s="225"/>
    </row>
    <row r="55" spans="2:14" x14ac:dyDescent="0.3">
      <c r="B55" s="37" t="s">
        <v>39</v>
      </c>
      <c r="C55" s="147">
        <v>0</v>
      </c>
      <c r="D55" s="147"/>
      <c r="E55" s="147"/>
      <c r="F55" s="147"/>
      <c r="G55" s="147"/>
      <c r="H55" s="147"/>
      <c r="I55" s="147">
        <f t="shared" si="11"/>
        <v>0</v>
      </c>
      <c r="J55" s="225"/>
    </row>
    <row r="56" spans="2:14" x14ac:dyDescent="0.3">
      <c r="B56" s="37" t="s">
        <v>40</v>
      </c>
      <c r="C56" s="147">
        <v>0</v>
      </c>
      <c r="D56" s="147"/>
      <c r="E56" s="147"/>
      <c r="F56" s="147"/>
      <c r="G56" s="147"/>
      <c r="H56" s="147"/>
      <c r="I56" s="147">
        <f t="shared" si="11"/>
        <v>0</v>
      </c>
      <c r="J56" s="225"/>
    </row>
    <row r="57" spans="2:14" x14ac:dyDescent="0.3">
      <c r="B57" s="37" t="s">
        <v>70</v>
      </c>
      <c r="C57" s="147">
        <v>0</v>
      </c>
      <c r="D57" s="147"/>
      <c r="E57" s="147"/>
      <c r="F57" s="147"/>
      <c r="G57" s="147"/>
      <c r="H57" s="147"/>
      <c r="I57" s="147">
        <f t="shared" si="11"/>
        <v>0</v>
      </c>
      <c r="J57" s="231"/>
    </row>
    <row r="58" spans="2:14" x14ac:dyDescent="0.3">
      <c r="B58" s="37" t="s">
        <v>417</v>
      </c>
      <c r="C58" s="147">
        <v>0</v>
      </c>
      <c r="D58" s="147">
        <v>1</v>
      </c>
      <c r="E58" s="147"/>
      <c r="F58" s="147"/>
      <c r="G58" s="147"/>
      <c r="H58" s="147"/>
      <c r="I58" s="147">
        <f t="shared" si="11"/>
        <v>1</v>
      </c>
      <c r="J58" s="225"/>
    </row>
    <row r="59" spans="2:14" x14ac:dyDescent="0.3">
      <c r="B59" s="39"/>
      <c r="C59" s="151"/>
      <c r="D59" s="151"/>
      <c r="E59" s="151"/>
      <c r="F59" s="151"/>
      <c r="G59" s="151"/>
      <c r="H59" s="151"/>
      <c r="I59" s="147">
        <f t="shared" si="11"/>
        <v>0</v>
      </c>
      <c r="J59" s="225"/>
    </row>
    <row r="60" spans="2:14" x14ac:dyDescent="0.3">
      <c r="B60" s="31" t="s">
        <v>41</v>
      </c>
      <c r="C60" s="152">
        <f t="shared" ref="C60" si="12">SUM(C40:C59)</f>
        <v>6</v>
      </c>
      <c r="D60" s="152">
        <f>SUM(D40:D59)</f>
        <v>1</v>
      </c>
      <c r="E60" s="152">
        <f t="shared" ref="E60:I60" si="13">SUM(E40:E59)</f>
        <v>0</v>
      </c>
      <c r="F60" s="152">
        <f t="shared" si="13"/>
        <v>1</v>
      </c>
      <c r="G60" s="152">
        <f t="shared" si="13"/>
        <v>4</v>
      </c>
      <c r="H60" s="152">
        <f t="shared" si="13"/>
        <v>0</v>
      </c>
      <c r="I60" s="152">
        <f t="shared" si="13"/>
        <v>12</v>
      </c>
      <c r="J60" s="231"/>
      <c r="K60" s="221"/>
    </row>
    <row r="61" spans="2:14" ht="15" thickBot="1" x14ac:dyDescent="0.35">
      <c r="B61" s="41"/>
      <c r="C61" s="153"/>
      <c r="D61" s="153"/>
      <c r="E61" s="153"/>
      <c r="F61" s="153"/>
      <c r="G61" s="153"/>
      <c r="H61" s="153"/>
      <c r="I61" s="153"/>
      <c r="J61" s="225"/>
    </row>
    <row r="62" spans="2:14" x14ac:dyDescent="0.3">
      <c r="B62" s="43" t="s">
        <v>42</v>
      </c>
      <c r="C62" s="44">
        <f t="shared" ref="C62" si="14">C37</f>
        <v>17.5</v>
      </c>
      <c r="D62" s="44">
        <f>D37</f>
        <v>0</v>
      </c>
      <c r="E62" s="44">
        <f t="shared" ref="E62:G62" si="15">E37</f>
        <v>2.5</v>
      </c>
      <c r="F62" s="44">
        <f t="shared" si="15"/>
        <v>0</v>
      </c>
      <c r="G62" s="44">
        <f t="shared" si="15"/>
        <v>0</v>
      </c>
      <c r="H62" s="44">
        <f t="shared" ref="H62" si="16">H37</f>
        <v>0</v>
      </c>
      <c r="I62" s="44">
        <f>I37</f>
        <v>20</v>
      </c>
      <c r="J62" s="225"/>
    </row>
    <row r="63" spans="2:14" ht="15" thickBot="1" x14ac:dyDescent="0.35">
      <c r="B63" s="45" t="s">
        <v>43</v>
      </c>
      <c r="C63" s="46">
        <f t="shared" ref="C63" si="17">C60</f>
        <v>6</v>
      </c>
      <c r="D63" s="46">
        <f>D60</f>
        <v>1</v>
      </c>
      <c r="E63" s="46">
        <f t="shared" ref="E63:I63" si="18">E60</f>
        <v>0</v>
      </c>
      <c r="F63" s="46">
        <f t="shared" si="18"/>
        <v>1</v>
      </c>
      <c r="G63" s="46">
        <f t="shared" si="18"/>
        <v>4</v>
      </c>
      <c r="H63" s="46">
        <f t="shared" ref="H63" si="19">H60</f>
        <v>0</v>
      </c>
      <c r="I63" s="46">
        <f t="shared" si="18"/>
        <v>12</v>
      </c>
      <c r="J63" s="225"/>
    </row>
    <row r="64" spans="2:14" ht="15" thickBot="1" x14ac:dyDescent="0.35">
      <c r="B64" s="47" t="s">
        <v>44</v>
      </c>
      <c r="C64" s="48">
        <f t="shared" ref="C64" si="20">SUM(C62:C63)</f>
        <v>23.5</v>
      </c>
      <c r="D64" s="48">
        <f>SUM(D62:D63)</f>
        <v>1</v>
      </c>
      <c r="E64" s="48">
        <f t="shared" ref="E64:I64" si="21">SUM(E62:E63)</f>
        <v>2.5</v>
      </c>
      <c r="F64" s="48">
        <f t="shared" si="21"/>
        <v>1</v>
      </c>
      <c r="G64" s="48">
        <f t="shared" si="21"/>
        <v>4</v>
      </c>
      <c r="H64" s="48">
        <f t="shared" ref="H64" si="22">SUM(H62:H63)</f>
        <v>0</v>
      </c>
      <c r="I64" s="48">
        <f t="shared" si="21"/>
        <v>32</v>
      </c>
      <c r="J64" s="225"/>
    </row>
    <row r="65" spans="1:13" ht="15" thickBot="1" x14ac:dyDescent="0.35">
      <c r="B65" s="37"/>
      <c r="C65" s="154"/>
      <c r="D65" s="154"/>
      <c r="E65" s="154"/>
      <c r="F65" s="154"/>
      <c r="G65" s="154"/>
      <c r="H65" s="154"/>
      <c r="I65" s="154"/>
      <c r="J65" s="225"/>
    </row>
    <row r="66" spans="1:13" x14ac:dyDescent="0.3">
      <c r="B66" s="127" t="s">
        <v>45</v>
      </c>
      <c r="C66" s="51"/>
      <c r="D66" s="432"/>
      <c r="E66" s="51"/>
      <c r="F66" s="51"/>
      <c r="G66" s="51"/>
      <c r="H66" s="51"/>
      <c r="I66" s="432">
        <f>I135/(I203+I205+I206+I207+I208+I209)</f>
        <v>0.20568804305658134</v>
      </c>
      <c r="J66" s="225"/>
    </row>
    <row r="67" spans="1:13" x14ac:dyDescent="0.3">
      <c r="B67" s="33" t="s">
        <v>46</v>
      </c>
      <c r="C67" s="53"/>
      <c r="D67" s="433"/>
      <c r="E67" s="53"/>
      <c r="F67" s="53"/>
      <c r="G67" s="53"/>
      <c r="H67" s="53"/>
      <c r="I67" s="433">
        <f t="shared" ref="I67" si="23">(I108+I109+I112+I123)/I128</f>
        <v>0.69966367106923977</v>
      </c>
      <c r="J67" s="225"/>
    </row>
    <row r="68" spans="1:13" x14ac:dyDescent="0.3">
      <c r="B68" s="128" t="s">
        <v>47</v>
      </c>
      <c r="C68" s="53"/>
      <c r="D68" s="433"/>
      <c r="E68" s="53"/>
      <c r="F68" s="53"/>
      <c r="G68" s="53"/>
      <c r="H68" s="53"/>
      <c r="I68" s="433">
        <f t="shared" ref="I68" si="24">(I102+I103+I104+I107+I110+I111+I113+I114+I117+I118+I119+I120+I121+I122+I125+I126)/I128</f>
        <v>0.22590537357232798</v>
      </c>
      <c r="J68" s="225"/>
    </row>
    <row r="69" spans="1:13" ht="15" thickBot="1" x14ac:dyDescent="0.35">
      <c r="B69" s="129" t="s">
        <v>48</v>
      </c>
      <c r="C69" s="56"/>
      <c r="D69" s="434"/>
      <c r="E69" s="56"/>
      <c r="F69" s="56"/>
      <c r="G69" s="56"/>
      <c r="H69" s="56"/>
      <c r="I69" s="434">
        <f>(I206+I207+I208+I209)/(I98-I87)</f>
        <v>0.10624926393992065</v>
      </c>
      <c r="J69" s="225"/>
    </row>
    <row r="70" spans="1:13" s="62" customFormat="1" x14ac:dyDescent="0.3">
      <c r="A70" s="57"/>
      <c r="B70" s="58"/>
      <c r="C70" s="154"/>
      <c r="D70" s="154"/>
      <c r="E70" s="154"/>
      <c r="F70" s="154"/>
      <c r="G70" s="154"/>
      <c r="H70" s="154"/>
      <c r="I70" s="154"/>
      <c r="J70" s="225"/>
    </row>
    <row r="71" spans="1:13" s="62" customFormat="1" x14ac:dyDescent="0.3">
      <c r="A71" s="57"/>
      <c r="C71" s="154"/>
      <c r="D71" s="154"/>
      <c r="E71" s="154"/>
      <c r="F71" s="154"/>
      <c r="G71" s="154"/>
      <c r="H71" s="154"/>
      <c r="I71" s="154"/>
      <c r="J71" s="481">
        <f>J73-I73</f>
        <v>-108610.85233899951</v>
      </c>
    </row>
    <row r="72" spans="1:13" x14ac:dyDescent="0.3">
      <c r="A72" s="63"/>
      <c r="B72" s="130" t="s">
        <v>405</v>
      </c>
      <c r="C72" s="155" t="str">
        <f t="shared" ref="C72" si="25">C1</f>
        <v>Operating</v>
      </c>
      <c r="D72" s="155" t="str">
        <f t="shared" ref="D72:I72" si="26">D1</f>
        <v>Weights</v>
      </c>
      <c r="E72" s="155" t="str">
        <f t="shared" si="26"/>
        <v>SPED</v>
      </c>
      <c r="F72" s="155" t="str">
        <f t="shared" si="26"/>
        <v>NSLP</v>
      </c>
      <c r="G72" s="155" t="str">
        <f t="shared" si="26"/>
        <v>Title 1</v>
      </c>
      <c r="H72" s="155" t="str">
        <f t="shared" si="26"/>
        <v>Title 2</v>
      </c>
      <c r="I72" s="155" t="str">
        <f t="shared" si="26"/>
        <v>Total</v>
      </c>
      <c r="J72" s="232"/>
      <c r="K72" s="273" t="s">
        <v>221</v>
      </c>
      <c r="L72" s="273" t="s">
        <v>222</v>
      </c>
      <c r="M72" s="273" t="s">
        <v>223</v>
      </c>
    </row>
    <row r="73" spans="1:13" x14ac:dyDescent="0.3">
      <c r="A73" s="67">
        <v>3110</v>
      </c>
      <c r="B73" s="413" t="s">
        <v>339</v>
      </c>
      <c r="C73" s="156">
        <f>(C2*C5)</f>
        <v>3367815.8523389995</v>
      </c>
      <c r="D73" s="156"/>
      <c r="E73" s="156"/>
      <c r="F73" s="156"/>
      <c r="G73" s="156"/>
      <c r="H73" s="156"/>
      <c r="I73" s="143">
        <f t="shared" ref="I73:I84" si="27">SUM(C73:H73)</f>
        <v>3367815.8523389995</v>
      </c>
      <c r="J73" s="233">
        <f>3259205</f>
        <v>3259205</v>
      </c>
      <c r="K73" s="219">
        <v>200</v>
      </c>
      <c r="L73" s="219">
        <v>280</v>
      </c>
      <c r="M73" s="219">
        <v>364</v>
      </c>
    </row>
    <row r="74" spans="1:13" x14ac:dyDescent="0.3">
      <c r="A74" s="67">
        <v>4500</v>
      </c>
      <c r="B74" s="409" t="s">
        <v>331</v>
      </c>
      <c r="C74" s="143"/>
      <c r="D74" s="143"/>
      <c r="E74" s="143"/>
      <c r="F74" s="143">
        <f>(C19*F25)*3.5*180+((C19*F25)*1.84*180)</f>
        <v>371984.4</v>
      </c>
      <c r="G74" s="143"/>
      <c r="H74" s="143"/>
      <c r="I74" s="143">
        <f t="shared" si="27"/>
        <v>371984.4</v>
      </c>
      <c r="J74" s="234"/>
      <c r="K74" s="272">
        <v>91981</v>
      </c>
      <c r="L74" s="272">
        <v>89741.34</v>
      </c>
      <c r="M74" s="272">
        <f>233347-50000</f>
        <v>183347</v>
      </c>
    </row>
    <row r="75" spans="1:13" x14ac:dyDescent="0.3">
      <c r="A75" s="67">
        <v>4500</v>
      </c>
      <c r="B75" s="409" t="s">
        <v>330</v>
      </c>
      <c r="C75" s="143"/>
      <c r="D75" s="143"/>
      <c r="E75" s="143">
        <f>950*'23-24'!E22</f>
        <v>34200</v>
      </c>
      <c r="F75" s="143"/>
      <c r="G75" s="143"/>
      <c r="H75" s="143"/>
      <c r="I75" s="143">
        <f t="shared" si="27"/>
        <v>34200</v>
      </c>
      <c r="J75" s="235"/>
      <c r="L75" s="274"/>
    </row>
    <row r="76" spans="1:13" x14ac:dyDescent="0.3">
      <c r="A76" s="74">
        <v>3115</v>
      </c>
      <c r="B76" s="410" t="s">
        <v>51</v>
      </c>
      <c r="C76" s="153"/>
      <c r="D76" s="153"/>
      <c r="E76" s="153">
        <f>2755*'23-24'!E22</f>
        <v>99180</v>
      </c>
      <c r="F76" s="153"/>
      <c r="G76" s="153"/>
      <c r="H76" s="153"/>
      <c r="I76" s="143">
        <f t="shared" si="27"/>
        <v>99180</v>
      </c>
      <c r="J76" s="235"/>
    </row>
    <row r="77" spans="1:13" x14ac:dyDescent="0.3">
      <c r="A77" s="74"/>
      <c r="B77" s="410" t="s">
        <v>384</v>
      </c>
      <c r="C77" s="153"/>
      <c r="D77" s="153"/>
      <c r="E77" s="153"/>
      <c r="F77" s="153"/>
      <c r="G77" s="153">
        <f>((C19*F25)*0.9)*400</f>
        <v>139320</v>
      </c>
      <c r="H77" s="153"/>
      <c r="I77" s="143">
        <f t="shared" si="27"/>
        <v>139320</v>
      </c>
      <c r="J77" s="235"/>
    </row>
    <row r="78" spans="1:13" x14ac:dyDescent="0.3">
      <c r="A78" s="74"/>
      <c r="B78" s="410" t="s">
        <v>390</v>
      </c>
      <c r="C78" s="153"/>
      <c r="D78" s="153"/>
      <c r="E78" s="153"/>
      <c r="F78" s="153"/>
      <c r="G78" s="153">
        <v>0</v>
      </c>
      <c r="H78" s="153">
        <f>'23-24'!C19*85</f>
        <v>25500</v>
      </c>
      <c r="I78" s="143">
        <f t="shared" si="27"/>
        <v>25500</v>
      </c>
      <c r="J78" s="235"/>
    </row>
    <row r="79" spans="1:13" x14ac:dyDescent="0.3">
      <c r="A79" s="74"/>
      <c r="B79" s="409" t="s">
        <v>416</v>
      </c>
      <c r="C79" s="153"/>
      <c r="D79" s="153">
        <f>1635.98*'23-24'!D23</f>
        <v>103066.74</v>
      </c>
      <c r="E79" s="153"/>
      <c r="F79" s="153"/>
      <c r="G79" s="153"/>
      <c r="H79" s="153"/>
      <c r="I79" s="143">
        <f t="shared" si="27"/>
        <v>103066.74</v>
      </c>
      <c r="J79" s="235"/>
      <c r="K79" s="414">
        <f>7074*0.23</f>
        <v>1627.02</v>
      </c>
      <c r="L79" s="219" t="s">
        <v>342</v>
      </c>
    </row>
    <row r="80" spans="1:13" x14ac:dyDescent="0.3">
      <c r="A80" s="67">
        <v>3200</v>
      </c>
      <c r="B80" s="409" t="s">
        <v>332</v>
      </c>
      <c r="C80" s="143"/>
      <c r="D80" s="143"/>
      <c r="E80" s="143"/>
      <c r="F80" s="143"/>
      <c r="G80" s="143"/>
      <c r="H80" s="143"/>
      <c r="I80" s="143">
        <f t="shared" si="27"/>
        <v>0</v>
      </c>
      <c r="J80" s="235"/>
      <c r="K80" s="414">
        <f>7074*0.12</f>
        <v>848.88</v>
      </c>
      <c r="L80" s="219" t="s">
        <v>343</v>
      </c>
    </row>
    <row r="81" spans="1:13" x14ac:dyDescent="0.3">
      <c r="A81" s="67"/>
      <c r="B81" s="409" t="s">
        <v>334</v>
      </c>
      <c r="C81" s="143"/>
      <c r="D81" s="143">
        <f>'23-24'!D26*247.07</f>
        <v>42708.520199999992</v>
      </c>
      <c r="E81" s="143"/>
      <c r="F81" s="143"/>
      <c r="G81" s="143"/>
      <c r="H81" s="143"/>
      <c r="I81" s="143">
        <f t="shared" si="27"/>
        <v>42708.520199999992</v>
      </c>
      <c r="J81" s="225"/>
      <c r="K81" s="414">
        <f>7074*0.03</f>
        <v>212.22</v>
      </c>
      <c r="L81" s="274" t="s">
        <v>344</v>
      </c>
      <c r="M81" s="274"/>
    </row>
    <row r="82" spans="1:13" x14ac:dyDescent="0.3">
      <c r="A82" s="67"/>
      <c r="B82" s="71" t="s">
        <v>456</v>
      </c>
      <c r="C82" s="143"/>
      <c r="D82" s="143"/>
      <c r="E82" s="143"/>
      <c r="F82" s="143"/>
      <c r="G82" s="143"/>
      <c r="H82" s="143"/>
      <c r="I82" s="143">
        <f t="shared" si="27"/>
        <v>0</v>
      </c>
      <c r="J82" s="225"/>
      <c r="K82" s="274"/>
      <c r="L82" s="274"/>
      <c r="M82" s="274"/>
    </row>
    <row r="83" spans="1:13" x14ac:dyDescent="0.3">
      <c r="A83" s="67"/>
      <c r="B83" s="545" t="s">
        <v>454</v>
      </c>
      <c r="C83" s="546">
        <v>0</v>
      </c>
      <c r="D83" s="546"/>
      <c r="E83" s="546"/>
      <c r="F83" s="546"/>
      <c r="G83" s="546"/>
      <c r="H83" s="546"/>
      <c r="I83" s="546">
        <f t="shared" si="27"/>
        <v>0</v>
      </c>
      <c r="J83" s="225"/>
      <c r="K83" s="274"/>
      <c r="L83" s="274"/>
      <c r="M83" s="274"/>
    </row>
    <row r="84" spans="1:13" ht="15" thickBot="1" x14ac:dyDescent="0.35">
      <c r="A84" s="67"/>
      <c r="B84" s="82" t="s">
        <v>428</v>
      </c>
      <c r="C84" s="143">
        <v>0</v>
      </c>
      <c r="D84" s="143"/>
      <c r="E84" s="143"/>
      <c r="F84" s="143"/>
      <c r="G84" s="143"/>
      <c r="H84" s="143"/>
      <c r="I84" s="143">
        <f t="shared" si="27"/>
        <v>0</v>
      </c>
      <c r="J84" s="431"/>
      <c r="K84" s="167"/>
    </row>
    <row r="85" spans="1:13" ht="15" thickBot="1" x14ac:dyDescent="0.35">
      <c r="A85" s="75"/>
      <c r="B85" s="131" t="s">
        <v>52</v>
      </c>
      <c r="C85" s="77">
        <f t="shared" ref="C85:I85" si="28">SUM(C73:C84)</f>
        <v>3367815.8523389995</v>
      </c>
      <c r="D85" s="77">
        <f t="shared" si="28"/>
        <v>145775.26019999999</v>
      </c>
      <c r="E85" s="77">
        <f t="shared" si="28"/>
        <v>133380</v>
      </c>
      <c r="F85" s="77">
        <f t="shared" si="28"/>
        <v>371984.4</v>
      </c>
      <c r="G85" s="77">
        <f t="shared" si="28"/>
        <v>139320</v>
      </c>
      <c r="H85" s="77">
        <f t="shared" si="28"/>
        <v>25500</v>
      </c>
      <c r="I85" s="77">
        <f t="shared" si="28"/>
        <v>4183775.5125389998</v>
      </c>
      <c r="J85" s="225"/>
    </row>
    <row r="86" spans="1:13" hidden="1" x14ac:dyDescent="0.3">
      <c r="A86" s="78"/>
      <c r="B86" s="71" t="s">
        <v>53</v>
      </c>
      <c r="C86" s="157">
        <f>C2*C5</f>
        <v>3367815.8523389995</v>
      </c>
      <c r="D86" s="157"/>
      <c r="E86" s="157"/>
      <c r="F86" s="157"/>
      <c r="G86" s="157"/>
      <c r="H86" s="157"/>
      <c r="I86" s="143">
        <f t="shared" ref="I86:I97" si="29">SUM(C86:H86)</f>
        <v>3367815.8523389995</v>
      </c>
      <c r="J86" s="231"/>
    </row>
    <row r="87" spans="1:13" hidden="1" x14ac:dyDescent="0.3">
      <c r="A87" s="67"/>
      <c r="B87" s="409" t="str">
        <f t="shared" ref="B87:H89" si="30">B74</f>
        <v>National School Lunch Program (NSLP)</v>
      </c>
      <c r="C87" s="143">
        <f t="shared" si="30"/>
        <v>0</v>
      </c>
      <c r="D87" s="143">
        <f t="shared" si="30"/>
        <v>0</v>
      </c>
      <c r="E87" s="143">
        <f t="shared" si="30"/>
        <v>0</v>
      </c>
      <c r="F87" s="143">
        <f t="shared" si="30"/>
        <v>371984.4</v>
      </c>
      <c r="G87" s="143">
        <f t="shared" si="30"/>
        <v>0</v>
      </c>
      <c r="H87" s="143">
        <f>H74</f>
        <v>0</v>
      </c>
      <c r="I87" s="143">
        <f t="shared" si="29"/>
        <v>371984.4</v>
      </c>
      <c r="J87" s="225"/>
    </row>
    <row r="88" spans="1:13" hidden="1" x14ac:dyDescent="0.3">
      <c r="A88" s="67"/>
      <c r="B88" s="409" t="str">
        <f t="shared" si="30"/>
        <v>SPED Funding (Part B)</v>
      </c>
      <c r="C88" s="143">
        <f t="shared" si="30"/>
        <v>0</v>
      </c>
      <c r="D88" s="143">
        <f t="shared" si="30"/>
        <v>0</v>
      </c>
      <c r="E88" s="143">
        <f t="shared" si="30"/>
        <v>34200</v>
      </c>
      <c r="F88" s="143">
        <f t="shared" si="30"/>
        <v>0</v>
      </c>
      <c r="G88" s="143">
        <f t="shared" si="30"/>
        <v>0</v>
      </c>
      <c r="H88" s="143">
        <f t="shared" si="30"/>
        <v>0</v>
      </c>
      <c r="I88" s="143">
        <f t="shared" si="29"/>
        <v>34200</v>
      </c>
      <c r="J88" s="225"/>
    </row>
    <row r="89" spans="1:13" hidden="1" x14ac:dyDescent="0.3">
      <c r="A89" s="74"/>
      <c r="B89" s="409" t="str">
        <f t="shared" si="30"/>
        <v>SPED Discretionary Unit</v>
      </c>
      <c r="C89" s="153">
        <f t="shared" si="30"/>
        <v>0</v>
      </c>
      <c r="D89" s="143">
        <f t="shared" si="30"/>
        <v>0</v>
      </c>
      <c r="E89" s="143">
        <f t="shared" si="30"/>
        <v>99180</v>
      </c>
      <c r="F89" s="143">
        <f t="shared" si="30"/>
        <v>0</v>
      </c>
      <c r="G89" s="143">
        <f t="shared" si="30"/>
        <v>0</v>
      </c>
      <c r="H89" s="143">
        <f t="shared" si="30"/>
        <v>0</v>
      </c>
      <c r="I89" s="143">
        <f t="shared" si="29"/>
        <v>99180</v>
      </c>
      <c r="J89" s="225"/>
    </row>
    <row r="90" spans="1:13" hidden="1" x14ac:dyDescent="0.3">
      <c r="A90" s="74"/>
      <c r="B90" s="409" t="s">
        <v>384</v>
      </c>
      <c r="C90" s="153">
        <f t="shared" ref="C90" si="31">C77</f>
        <v>0</v>
      </c>
      <c r="D90" s="143">
        <f>D77</f>
        <v>0</v>
      </c>
      <c r="E90" s="143">
        <f>E77</f>
        <v>0</v>
      </c>
      <c r="F90" s="143">
        <f>F77</f>
        <v>0</v>
      </c>
      <c r="G90" s="143">
        <f>G77</f>
        <v>139320</v>
      </c>
      <c r="H90" s="143">
        <f t="shared" ref="H90:H97" si="32">H77</f>
        <v>0</v>
      </c>
      <c r="I90" s="143">
        <f t="shared" si="29"/>
        <v>139320</v>
      </c>
      <c r="J90" s="225"/>
    </row>
    <row r="91" spans="1:13" hidden="1" x14ac:dyDescent="0.3">
      <c r="A91" s="74"/>
      <c r="B91" s="410" t="s">
        <v>390</v>
      </c>
      <c r="C91" s="153"/>
      <c r="D91" s="143"/>
      <c r="E91" s="143"/>
      <c r="F91" s="143"/>
      <c r="G91" s="143">
        <f t="shared" ref="G91:G97" si="33">G78</f>
        <v>0</v>
      </c>
      <c r="H91" s="143">
        <f t="shared" si="32"/>
        <v>25500</v>
      </c>
      <c r="I91" s="143">
        <f t="shared" si="29"/>
        <v>25500</v>
      </c>
      <c r="J91" s="225"/>
    </row>
    <row r="92" spans="1:13" hidden="1" x14ac:dyDescent="0.3">
      <c r="A92" s="67"/>
      <c r="B92" s="409" t="str">
        <f t="shared" ref="B92:F97" si="34">B79</f>
        <v>EL Weight</v>
      </c>
      <c r="C92" s="153">
        <f t="shared" si="34"/>
        <v>0</v>
      </c>
      <c r="D92" s="143">
        <f t="shared" si="34"/>
        <v>103066.74</v>
      </c>
      <c r="E92" s="143">
        <f t="shared" si="34"/>
        <v>0</v>
      </c>
      <c r="F92" s="143">
        <f t="shared" si="34"/>
        <v>0</v>
      </c>
      <c r="G92" s="143">
        <f t="shared" si="33"/>
        <v>0</v>
      </c>
      <c r="H92" s="143">
        <f t="shared" si="32"/>
        <v>0</v>
      </c>
      <c r="I92" s="143">
        <f t="shared" si="29"/>
        <v>103066.74</v>
      </c>
      <c r="J92" s="225"/>
    </row>
    <row r="93" spans="1:13" hidden="1" x14ac:dyDescent="0.3">
      <c r="A93" s="67"/>
      <c r="B93" s="409" t="str">
        <f t="shared" si="34"/>
        <v>Gifted and Talented Education (GATE) Weight</v>
      </c>
      <c r="C93" s="153">
        <f t="shared" si="34"/>
        <v>0</v>
      </c>
      <c r="D93" s="143">
        <f t="shared" si="34"/>
        <v>0</v>
      </c>
      <c r="E93" s="143">
        <f t="shared" si="34"/>
        <v>0</v>
      </c>
      <c r="F93" s="143">
        <f t="shared" si="34"/>
        <v>0</v>
      </c>
      <c r="G93" s="143">
        <f t="shared" si="33"/>
        <v>0</v>
      </c>
      <c r="H93" s="143">
        <f t="shared" si="32"/>
        <v>0</v>
      </c>
      <c r="I93" s="143">
        <f t="shared" si="29"/>
        <v>0</v>
      </c>
      <c r="J93" s="225"/>
    </row>
    <row r="94" spans="1:13" hidden="1" x14ac:dyDescent="0.3">
      <c r="A94" s="67"/>
      <c r="B94" s="409" t="str">
        <f t="shared" si="34"/>
        <v>At-Risk Weight</v>
      </c>
      <c r="C94" s="153">
        <f t="shared" si="34"/>
        <v>0</v>
      </c>
      <c r="D94" s="143">
        <f t="shared" si="34"/>
        <v>42708.520199999992</v>
      </c>
      <c r="E94" s="143">
        <f t="shared" si="34"/>
        <v>0</v>
      </c>
      <c r="F94" s="143">
        <f t="shared" si="34"/>
        <v>0</v>
      </c>
      <c r="G94" s="143">
        <f t="shared" si="33"/>
        <v>0</v>
      </c>
      <c r="H94" s="143">
        <f t="shared" si="32"/>
        <v>0</v>
      </c>
      <c r="I94" s="143">
        <f t="shared" si="29"/>
        <v>42708.520199999992</v>
      </c>
      <c r="J94" s="225"/>
    </row>
    <row r="95" spans="1:13" hidden="1" x14ac:dyDescent="0.3">
      <c r="A95" s="67"/>
      <c r="B95" s="409" t="str">
        <f t="shared" si="34"/>
        <v>OTHER: Charter School Program (CSP) Grant</v>
      </c>
      <c r="C95" s="153">
        <f t="shared" si="34"/>
        <v>0</v>
      </c>
      <c r="D95" s="143">
        <f t="shared" si="34"/>
        <v>0</v>
      </c>
      <c r="E95" s="143">
        <f t="shared" si="34"/>
        <v>0</v>
      </c>
      <c r="F95" s="143">
        <f t="shared" si="34"/>
        <v>0</v>
      </c>
      <c r="G95" s="143">
        <f t="shared" si="33"/>
        <v>0</v>
      </c>
      <c r="H95" s="143">
        <f t="shared" si="32"/>
        <v>0</v>
      </c>
      <c r="I95" s="143">
        <f t="shared" si="29"/>
        <v>0</v>
      </c>
      <c r="J95" s="225"/>
    </row>
    <row r="96" spans="1:13" hidden="1" x14ac:dyDescent="0.3">
      <c r="A96" s="67"/>
      <c r="B96" s="409" t="str">
        <f t="shared" si="34"/>
        <v>OTHER: Donation (Sands Corporation)</v>
      </c>
      <c r="C96" s="153">
        <f t="shared" si="34"/>
        <v>0</v>
      </c>
      <c r="D96" s="143">
        <f t="shared" si="34"/>
        <v>0</v>
      </c>
      <c r="E96" s="143">
        <f t="shared" si="34"/>
        <v>0</v>
      </c>
      <c r="F96" s="143">
        <f t="shared" si="34"/>
        <v>0</v>
      </c>
      <c r="G96" s="143">
        <f t="shared" si="33"/>
        <v>0</v>
      </c>
      <c r="H96" s="143">
        <f t="shared" si="32"/>
        <v>0</v>
      </c>
      <c r="I96" s="143">
        <f t="shared" si="29"/>
        <v>0</v>
      </c>
      <c r="J96" s="225"/>
    </row>
    <row r="97" spans="1:15" hidden="1" x14ac:dyDescent="0.3">
      <c r="A97" s="67"/>
      <c r="B97" s="409" t="str">
        <f t="shared" si="34"/>
        <v>OTHER: Tenant Improvements Donation</v>
      </c>
      <c r="C97" s="153">
        <f t="shared" si="34"/>
        <v>0</v>
      </c>
      <c r="D97" s="143">
        <f t="shared" si="34"/>
        <v>0</v>
      </c>
      <c r="E97" s="143">
        <f t="shared" si="34"/>
        <v>0</v>
      </c>
      <c r="F97" s="143">
        <f t="shared" si="34"/>
        <v>0</v>
      </c>
      <c r="G97" s="143">
        <f t="shared" si="33"/>
        <v>0</v>
      </c>
      <c r="H97" s="143">
        <f t="shared" si="32"/>
        <v>0</v>
      </c>
      <c r="I97" s="143">
        <f t="shared" si="29"/>
        <v>0</v>
      </c>
      <c r="J97" s="225"/>
    </row>
    <row r="98" spans="1:15" hidden="1" x14ac:dyDescent="0.3">
      <c r="A98" s="67"/>
      <c r="B98" s="132" t="s">
        <v>54</v>
      </c>
      <c r="C98" s="158">
        <f t="shared" ref="C98:I98" si="35">SUM(C86:C97)</f>
        <v>3367815.8523389995</v>
      </c>
      <c r="D98" s="158">
        <f t="shared" si="35"/>
        <v>145775.26019999999</v>
      </c>
      <c r="E98" s="158">
        <f t="shared" si="35"/>
        <v>133380</v>
      </c>
      <c r="F98" s="158">
        <f t="shared" si="35"/>
        <v>371984.4</v>
      </c>
      <c r="G98" s="158">
        <f t="shared" si="35"/>
        <v>139320</v>
      </c>
      <c r="H98" s="158">
        <f t="shared" si="35"/>
        <v>25500</v>
      </c>
      <c r="I98" s="158">
        <f t="shared" si="35"/>
        <v>4183775.5125389998</v>
      </c>
      <c r="J98" s="225"/>
    </row>
    <row r="99" spans="1:15" s="62" customFormat="1" x14ac:dyDescent="0.3">
      <c r="A99" s="57"/>
      <c r="C99" s="154"/>
      <c r="D99" s="154"/>
      <c r="E99" s="154"/>
      <c r="F99" s="154"/>
      <c r="G99" s="154"/>
      <c r="H99" s="154"/>
      <c r="I99" s="154"/>
      <c r="J99" s="225"/>
    </row>
    <row r="100" spans="1:15" s="62" customFormat="1" ht="15" thickBot="1" x14ac:dyDescent="0.35">
      <c r="A100" s="57"/>
      <c r="B100" s="510" t="s">
        <v>55</v>
      </c>
      <c r="C100" s="511" t="str">
        <f>C1</f>
        <v>Operating</v>
      </c>
      <c r="D100" s="511" t="str">
        <f t="shared" ref="D100:I100" si="36">D1</f>
        <v>Weights</v>
      </c>
      <c r="E100" s="511" t="str">
        <f t="shared" si="36"/>
        <v>SPED</v>
      </c>
      <c r="F100" s="511" t="str">
        <f t="shared" si="36"/>
        <v>NSLP</v>
      </c>
      <c r="G100" s="511" t="str">
        <f t="shared" si="36"/>
        <v>Title 1</v>
      </c>
      <c r="H100" s="511" t="str">
        <f t="shared" si="36"/>
        <v>Title 2</v>
      </c>
      <c r="I100" s="511" t="str">
        <f t="shared" si="36"/>
        <v>Total</v>
      </c>
      <c r="J100" s="225"/>
    </row>
    <row r="101" spans="1:15" x14ac:dyDescent="0.3">
      <c r="A101" s="70"/>
      <c r="B101" s="133" t="s">
        <v>56</v>
      </c>
      <c r="C101" s="150"/>
      <c r="D101" s="150"/>
      <c r="E101" s="150"/>
      <c r="F101" s="150"/>
      <c r="G101" s="150"/>
      <c r="H101" s="150"/>
      <c r="I101" s="150"/>
      <c r="J101" s="230"/>
    </row>
    <row r="102" spans="1:15" x14ac:dyDescent="0.3">
      <c r="A102" s="67">
        <v>104</v>
      </c>
      <c r="B102" s="71" t="s">
        <v>30</v>
      </c>
      <c r="C102" s="145">
        <f>'23-24'!C102*1.02</f>
        <v>104040</v>
      </c>
      <c r="D102" s="143"/>
      <c r="E102" s="143"/>
      <c r="F102" s="143"/>
      <c r="G102" s="143"/>
      <c r="H102" s="143"/>
      <c r="I102" s="143">
        <f t="shared" ref="I102:I114" si="37">SUM(C102:H102)</f>
        <v>104040</v>
      </c>
      <c r="J102" s="225"/>
    </row>
    <row r="103" spans="1:15" x14ac:dyDescent="0.3">
      <c r="A103" s="67">
        <v>104</v>
      </c>
      <c r="B103" s="71" t="s">
        <v>57</v>
      </c>
      <c r="C103" s="145">
        <f>75000</f>
        <v>75000</v>
      </c>
      <c r="D103" s="143"/>
      <c r="E103" s="143"/>
      <c r="F103" s="143"/>
      <c r="G103" s="143"/>
      <c r="H103" s="143"/>
      <c r="I103" s="143">
        <f t="shared" si="37"/>
        <v>75000</v>
      </c>
      <c r="J103" s="225"/>
    </row>
    <row r="104" spans="1:15" x14ac:dyDescent="0.3">
      <c r="A104" s="67">
        <v>105</v>
      </c>
      <c r="B104" s="71" t="s">
        <v>415</v>
      </c>
      <c r="C104" s="145">
        <v>0</v>
      </c>
      <c r="D104" s="143"/>
      <c r="E104" s="143"/>
      <c r="F104" s="143"/>
      <c r="G104" s="143"/>
      <c r="H104" s="143"/>
      <c r="I104" s="143">
        <f t="shared" si="37"/>
        <v>0</v>
      </c>
      <c r="J104" s="225"/>
    </row>
    <row r="105" spans="1:15" x14ac:dyDescent="0.3">
      <c r="A105" s="67">
        <v>105</v>
      </c>
      <c r="B105" s="470" t="s">
        <v>417</v>
      </c>
      <c r="C105" s="145">
        <f>'23-24'!C105*1.02</f>
        <v>0</v>
      </c>
      <c r="D105" s="143">
        <f>50000*1.02</f>
        <v>51000</v>
      </c>
      <c r="E105" s="143"/>
      <c r="F105" s="143"/>
      <c r="G105" s="143"/>
      <c r="H105" s="143"/>
      <c r="I105" s="143">
        <f t="shared" si="37"/>
        <v>51000</v>
      </c>
      <c r="J105" s="225"/>
    </row>
    <row r="106" spans="1:15" x14ac:dyDescent="0.3">
      <c r="A106" s="67">
        <v>105</v>
      </c>
      <c r="B106" s="471" t="s">
        <v>413</v>
      </c>
      <c r="C106" s="145">
        <f>'23-24'!C106*1.02</f>
        <v>0</v>
      </c>
      <c r="D106" s="143">
        <f>'23-24'!G106*1.02</f>
        <v>66300</v>
      </c>
      <c r="E106" s="143"/>
      <c r="F106" s="143"/>
      <c r="G106" s="143"/>
      <c r="H106" s="143"/>
      <c r="I106" s="143">
        <f t="shared" si="37"/>
        <v>66300</v>
      </c>
      <c r="J106" s="225"/>
    </row>
    <row r="107" spans="1:15" x14ac:dyDescent="0.3">
      <c r="A107" s="67">
        <v>105</v>
      </c>
      <c r="B107" s="71" t="s">
        <v>425</v>
      </c>
      <c r="C107" s="145">
        <f>'23-24'!C107*1.02</f>
        <v>0</v>
      </c>
      <c r="D107" s="143"/>
      <c r="E107" s="143"/>
      <c r="F107" s="143"/>
      <c r="G107" s="143">
        <v>58500</v>
      </c>
      <c r="H107" s="143"/>
      <c r="I107" s="143">
        <f t="shared" si="37"/>
        <v>58500</v>
      </c>
      <c r="J107" s="225"/>
      <c r="N107" s="250"/>
      <c r="O107" s="250"/>
    </row>
    <row r="108" spans="1:15" x14ac:dyDescent="0.3">
      <c r="A108" s="67" t="s">
        <v>58</v>
      </c>
      <c r="B108" s="71" t="s">
        <v>59</v>
      </c>
      <c r="C108" s="143">
        <f>(52000)*(C37-C30)</f>
        <v>910000</v>
      </c>
      <c r="D108" s="143"/>
      <c r="E108" s="143"/>
      <c r="F108" s="143"/>
      <c r="G108" s="143"/>
      <c r="H108" s="143"/>
      <c r="I108" s="143">
        <f t="shared" si="37"/>
        <v>910000</v>
      </c>
      <c r="J108" s="226"/>
      <c r="K108" s="221">
        <v>51000</v>
      </c>
      <c r="L108" s="221">
        <f>K108*1.02</f>
        <v>52020</v>
      </c>
      <c r="M108" s="221"/>
      <c r="N108" s="221"/>
      <c r="O108" s="221"/>
    </row>
    <row r="109" spans="1:15" x14ac:dyDescent="0.3">
      <c r="A109" s="67">
        <v>101</v>
      </c>
      <c r="B109" s="71" t="s">
        <v>20</v>
      </c>
      <c r="C109" s="143">
        <f>(42500+750+750)*C30</f>
        <v>0</v>
      </c>
      <c r="D109" s="143">
        <f t="shared" ref="D109" si="38">(42500+750+750)*D30</f>
        <v>0</v>
      </c>
      <c r="E109" s="143">
        <f>(52000)*E30</f>
        <v>130000</v>
      </c>
      <c r="F109" s="143">
        <f t="shared" ref="F109:G109" si="39">42500*F30</f>
        <v>0</v>
      </c>
      <c r="G109" s="143">
        <f t="shared" si="39"/>
        <v>0</v>
      </c>
      <c r="H109" s="143"/>
      <c r="I109" s="143">
        <f t="shared" si="37"/>
        <v>130000</v>
      </c>
      <c r="J109" s="226"/>
      <c r="K109" s="364"/>
      <c r="L109" s="364"/>
      <c r="M109" s="364"/>
      <c r="N109" s="364"/>
      <c r="O109" s="364"/>
    </row>
    <row r="110" spans="1:15" x14ac:dyDescent="0.3">
      <c r="A110" s="67">
        <v>107</v>
      </c>
      <c r="B110" s="71" t="s">
        <v>60</v>
      </c>
      <c r="C110" s="143">
        <f>'23-24'!C110*1.02</f>
        <v>44737.200000000004</v>
      </c>
      <c r="D110" s="143"/>
      <c r="E110" s="143"/>
      <c r="F110" s="143"/>
      <c r="G110" s="143"/>
      <c r="H110" s="143"/>
      <c r="I110" s="143">
        <f t="shared" si="37"/>
        <v>44737.200000000004</v>
      </c>
      <c r="J110" s="168"/>
    </row>
    <row r="111" spans="1:15" x14ac:dyDescent="0.3">
      <c r="A111" s="67">
        <v>107</v>
      </c>
      <c r="B111" s="71" t="s">
        <v>61</v>
      </c>
      <c r="C111" s="143">
        <f>(14.5*8*190)*(C48+C49)</f>
        <v>22040</v>
      </c>
      <c r="D111" s="143">
        <f t="shared" ref="D111:F111" si="40">(13.5*8*190)*(D48+D49)</f>
        <v>0</v>
      </c>
      <c r="E111" s="143">
        <f t="shared" si="40"/>
        <v>0</v>
      </c>
      <c r="F111" s="143">
        <f t="shared" si="40"/>
        <v>0</v>
      </c>
      <c r="G111" s="143"/>
      <c r="H111" s="143"/>
      <c r="I111" s="143">
        <f t="shared" si="37"/>
        <v>22040</v>
      </c>
      <c r="J111" s="226"/>
      <c r="L111" s="221"/>
      <c r="M111" s="221"/>
      <c r="N111" s="221"/>
      <c r="O111" s="221"/>
    </row>
    <row r="112" spans="1:15" x14ac:dyDescent="0.3">
      <c r="A112" s="67">
        <v>102</v>
      </c>
      <c r="B112" s="71" t="s">
        <v>426</v>
      </c>
      <c r="C112" s="143">
        <f>(14.5*8*180)*C50</f>
        <v>0</v>
      </c>
      <c r="D112" s="143">
        <f t="shared" ref="D112:G112" si="41">(14.5*8*180)*D50</f>
        <v>0</v>
      </c>
      <c r="E112" s="143">
        <f t="shared" si="41"/>
        <v>0</v>
      </c>
      <c r="F112" s="143">
        <f t="shared" si="41"/>
        <v>0</v>
      </c>
      <c r="G112" s="143">
        <f t="shared" si="41"/>
        <v>62640</v>
      </c>
      <c r="H112" s="143"/>
      <c r="I112" s="143">
        <f t="shared" si="37"/>
        <v>62640</v>
      </c>
      <c r="J112" s="226"/>
    </row>
    <row r="113" spans="1:15" x14ac:dyDescent="0.3">
      <c r="A113" s="67">
        <v>107</v>
      </c>
      <c r="B113" s="410" t="s">
        <v>457</v>
      </c>
      <c r="C113" s="143">
        <f>(15.75*8*240)*C51</f>
        <v>30240</v>
      </c>
      <c r="D113" s="143"/>
      <c r="E113" s="143"/>
      <c r="F113" s="143"/>
      <c r="G113" s="143"/>
      <c r="H113" s="143"/>
      <c r="I113" s="143">
        <f t="shared" si="37"/>
        <v>30240</v>
      </c>
      <c r="J113" s="226"/>
    </row>
    <row r="114" spans="1:15" x14ac:dyDescent="0.3">
      <c r="A114" s="67">
        <v>107</v>
      </c>
      <c r="B114" s="71" t="s">
        <v>64</v>
      </c>
      <c r="C114" s="143"/>
      <c r="D114" s="143"/>
      <c r="E114" s="143"/>
      <c r="F114" s="143"/>
      <c r="G114" s="143"/>
      <c r="H114" s="143"/>
      <c r="I114" s="143">
        <f t="shared" si="37"/>
        <v>0</v>
      </c>
      <c r="J114" s="226"/>
    </row>
    <row r="115" spans="1:15" ht="15" thickBot="1" x14ac:dyDescent="0.35">
      <c r="A115" s="63"/>
      <c r="B115" s="516" t="s">
        <v>443</v>
      </c>
      <c r="C115" s="517">
        <f>SUM(C102:C114)</f>
        <v>1186057.2</v>
      </c>
      <c r="D115" s="517">
        <f t="shared" ref="D115:I115" si="42">SUM(D102:D114)</f>
        <v>117300</v>
      </c>
      <c r="E115" s="517">
        <f t="shared" si="42"/>
        <v>130000</v>
      </c>
      <c r="F115" s="517">
        <f t="shared" si="42"/>
        <v>0</v>
      </c>
      <c r="G115" s="517">
        <f t="shared" si="42"/>
        <v>121140</v>
      </c>
      <c r="H115" s="517">
        <f t="shared" si="42"/>
        <v>0</v>
      </c>
      <c r="I115" s="517">
        <f t="shared" si="42"/>
        <v>1554497.2</v>
      </c>
      <c r="J115" s="236"/>
    </row>
    <row r="116" spans="1:15" x14ac:dyDescent="0.3">
      <c r="A116" s="70"/>
      <c r="B116" s="135" t="s">
        <v>66</v>
      </c>
      <c r="C116" s="150" t="str">
        <f t="shared" ref="C116:I116" si="43">C1</f>
        <v>Operating</v>
      </c>
      <c r="D116" s="150" t="str">
        <f t="shared" si="43"/>
        <v>Weights</v>
      </c>
      <c r="E116" s="150" t="str">
        <f t="shared" si="43"/>
        <v>SPED</v>
      </c>
      <c r="F116" s="150" t="str">
        <f t="shared" si="43"/>
        <v>NSLP</v>
      </c>
      <c r="G116" s="150" t="str">
        <f t="shared" si="43"/>
        <v>Title 1</v>
      </c>
      <c r="H116" s="150" t="str">
        <f t="shared" si="43"/>
        <v>Title 2</v>
      </c>
      <c r="I116" s="150" t="str">
        <f t="shared" si="43"/>
        <v>Total</v>
      </c>
      <c r="J116" s="230"/>
    </row>
    <row r="117" spans="1:15" hidden="1" x14ac:dyDescent="0.3">
      <c r="A117" s="67"/>
      <c r="B117" s="71" t="s">
        <v>67</v>
      </c>
      <c r="C117" s="143"/>
      <c r="D117" s="143"/>
      <c r="E117" s="143"/>
      <c r="F117" s="143"/>
      <c r="G117" s="143"/>
      <c r="H117" s="143"/>
      <c r="I117" s="147">
        <f t="shared" ref="I117:I123" si="44">SUM(C117:H117)</f>
        <v>0</v>
      </c>
      <c r="J117" s="225"/>
    </row>
    <row r="118" spans="1:15" x14ac:dyDescent="0.3">
      <c r="A118" s="67"/>
      <c r="B118" s="71" t="s">
        <v>37</v>
      </c>
      <c r="C118" s="143"/>
      <c r="D118" s="143"/>
      <c r="E118" s="143"/>
      <c r="F118" s="143"/>
      <c r="G118" s="143"/>
      <c r="H118" s="143"/>
      <c r="I118" s="147">
        <f t="shared" si="44"/>
        <v>0</v>
      </c>
      <c r="J118" s="225"/>
    </row>
    <row r="119" spans="1:15" x14ac:dyDescent="0.3">
      <c r="A119" s="67"/>
      <c r="B119" s="71" t="s">
        <v>38</v>
      </c>
      <c r="C119" s="143"/>
      <c r="D119" s="143"/>
      <c r="E119" s="143"/>
      <c r="F119" s="143"/>
      <c r="G119" s="143"/>
      <c r="H119" s="143"/>
      <c r="I119" s="147">
        <f t="shared" si="44"/>
        <v>0</v>
      </c>
      <c r="J119" s="225"/>
    </row>
    <row r="120" spans="1:15" x14ac:dyDescent="0.3">
      <c r="A120" s="67"/>
      <c r="B120" s="71" t="s">
        <v>39</v>
      </c>
      <c r="C120" s="143"/>
      <c r="D120" s="143"/>
      <c r="E120" s="143"/>
      <c r="F120" s="143"/>
      <c r="G120" s="143"/>
      <c r="H120" s="143"/>
      <c r="I120" s="147">
        <f t="shared" si="44"/>
        <v>0</v>
      </c>
      <c r="J120" s="225"/>
    </row>
    <row r="121" spans="1:15" x14ac:dyDescent="0.3">
      <c r="A121" s="67"/>
      <c r="B121" s="71" t="s">
        <v>40</v>
      </c>
      <c r="C121" s="143"/>
      <c r="D121" s="143"/>
      <c r="E121" s="143"/>
      <c r="F121" s="143"/>
      <c r="G121" s="143"/>
      <c r="H121" s="143"/>
      <c r="I121" s="147">
        <f t="shared" si="44"/>
        <v>0</v>
      </c>
      <c r="J121" s="225"/>
    </row>
    <row r="122" spans="1:15" x14ac:dyDescent="0.3">
      <c r="A122" s="67"/>
      <c r="B122" s="71" t="s">
        <v>68</v>
      </c>
      <c r="C122" s="143"/>
      <c r="D122" s="143"/>
      <c r="E122" s="143"/>
      <c r="F122" s="143"/>
      <c r="G122" s="143"/>
      <c r="H122" s="143"/>
      <c r="I122" s="147">
        <f t="shared" si="44"/>
        <v>0</v>
      </c>
      <c r="J122" s="225"/>
    </row>
    <row r="123" spans="1:15" x14ac:dyDescent="0.3">
      <c r="A123" s="67"/>
      <c r="B123" s="71" t="s">
        <v>50</v>
      </c>
      <c r="C123" s="143">
        <v>0</v>
      </c>
      <c r="D123" s="143"/>
      <c r="E123" s="143"/>
      <c r="F123" s="143"/>
      <c r="G123" s="143"/>
      <c r="H123" s="143"/>
      <c r="I123" s="147">
        <f t="shared" si="44"/>
        <v>0</v>
      </c>
      <c r="J123" s="225"/>
    </row>
    <row r="124" spans="1:15" x14ac:dyDescent="0.3">
      <c r="A124" s="67"/>
      <c r="B124" s="410" t="s">
        <v>173</v>
      </c>
      <c r="C124" s="143"/>
      <c r="D124" s="143"/>
      <c r="E124" s="143"/>
      <c r="F124" s="143"/>
      <c r="G124" s="143"/>
      <c r="H124" s="143"/>
      <c r="I124" s="147"/>
      <c r="J124" s="225"/>
    </row>
    <row r="125" spans="1:15" x14ac:dyDescent="0.3">
      <c r="A125" s="67">
        <v>107</v>
      </c>
      <c r="B125" s="71" t="s">
        <v>69</v>
      </c>
      <c r="C125" s="145">
        <f>(13*8*185)*C52</f>
        <v>0</v>
      </c>
      <c r="D125" s="145">
        <f t="shared" ref="D125:E125" si="45">(13*8*185)*D52</f>
        <v>0</v>
      </c>
      <c r="E125" s="145">
        <f t="shared" si="45"/>
        <v>0</v>
      </c>
      <c r="F125" s="145">
        <f>(14.5*8*185)*F52</f>
        <v>21460</v>
      </c>
      <c r="G125" s="143"/>
      <c r="H125" s="143"/>
      <c r="I125" s="143">
        <f>SUM(C125:H125)</f>
        <v>21460</v>
      </c>
      <c r="J125" s="225"/>
    </row>
    <row r="126" spans="1:15" x14ac:dyDescent="0.3">
      <c r="A126" s="74"/>
      <c r="B126" s="71" t="s">
        <v>70</v>
      </c>
      <c r="C126" s="153">
        <v>0</v>
      </c>
      <c r="D126" s="143"/>
      <c r="E126" s="143"/>
      <c r="F126" s="143"/>
      <c r="G126" s="143"/>
      <c r="H126" s="143"/>
      <c r="I126" s="147">
        <f>SUM(C126:H126)</f>
        <v>0</v>
      </c>
      <c r="J126" s="225"/>
    </row>
    <row r="127" spans="1:15" ht="15" thickBot="1" x14ac:dyDescent="0.35">
      <c r="A127" s="63"/>
      <c r="B127" s="520" t="s">
        <v>444</v>
      </c>
      <c r="C127" s="519">
        <f>SUM(C117:C126)</f>
        <v>0</v>
      </c>
      <c r="D127" s="519">
        <f t="shared" ref="D127:F127" si="46">SUM(D117:D126)</f>
        <v>0</v>
      </c>
      <c r="E127" s="519">
        <f t="shared" si="46"/>
        <v>0</v>
      </c>
      <c r="F127" s="519">
        <f t="shared" si="46"/>
        <v>21460</v>
      </c>
      <c r="G127" s="519">
        <f t="shared" ref="G127:I127" si="47">SUM(G117:G126)</f>
        <v>0</v>
      </c>
      <c r="H127" s="519">
        <f t="shared" si="47"/>
        <v>0</v>
      </c>
      <c r="I127" s="519">
        <f t="shared" si="47"/>
        <v>21460</v>
      </c>
      <c r="J127" s="236"/>
    </row>
    <row r="128" spans="1:15" ht="15" thickBot="1" x14ac:dyDescent="0.35">
      <c r="A128" s="91"/>
      <c r="B128" s="521" t="s">
        <v>445</v>
      </c>
      <c r="C128" s="483">
        <f>C115+C127</f>
        <v>1186057.2</v>
      </c>
      <c r="D128" s="483">
        <f t="shared" ref="D128:F128" si="48">D115+D127</f>
        <v>117300</v>
      </c>
      <c r="E128" s="483">
        <f t="shared" si="48"/>
        <v>130000</v>
      </c>
      <c r="F128" s="483">
        <f t="shared" si="48"/>
        <v>21460</v>
      </c>
      <c r="G128" s="483">
        <f t="shared" ref="G128:I128" si="49">G115+G127</f>
        <v>121140</v>
      </c>
      <c r="H128" s="483">
        <f t="shared" si="49"/>
        <v>0</v>
      </c>
      <c r="I128" s="483">
        <f t="shared" si="49"/>
        <v>1575957.2</v>
      </c>
      <c r="J128" s="225"/>
      <c r="K128" s="223">
        <f t="shared" ref="K128:O128" si="50">SUM(K129:K130)</f>
        <v>0.47249999999999998</v>
      </c>
      <c r="L128" s="223">
        <f t="shared" si="50"/>
        <v>0.47749999999999998</v>
      </c>
      <c r="M128" s="223">
        <f t="shared" si="50"/>
        <v>0.48249999999999998</v>
      </c>
      <c r="N128" s="223">
        <f t="shared" si="50"/>
        <v>0.48749999999999999</v>
      </c>
      <c r="O128" s="223">
        <f t="shared" si="50"/>
        <v>0.49249999999999999</v>
      </c>
    </row>
    <row r="129" spans="1:15" x14ac:dyDescent="0.3">
      <c r="A129" s="78">
        <v>230</v>
      </c>
      <c r="B129" s="71" t="s">
        <v>340</v>
      </c>
      <c r="C129" s="157">
        <f t="shared" ref="C129:H129" si="51">C128*0.2975</f>
        <v>352852.01699999999</v>
      </c>
      <c r="D129" s="157">
        <f t="shared" si="51"/>
        <v>34896.75</v>
      </c>
      <c r="E129" s="157">
        <f t="shared" si="51"/>
        <v>38675</v>
      </c>
      <c r="F129" s="157">
        <f t="shared" si="51"/>
        <v>6384.3499999999995</v>
      </c>
      <c r="G129" s="157">
        <f t="shared" si="51"/>
        <v>36039.15</v>
      </c>
      <c r="H129" s="157">
        <f t="shared" si="51"/>
        <v>0</v>
      </c>
      <c r="I129" s="143">
        <f t="shared" ref="I129:I134" si="52">SUM(C129:H129)</f>
        <v>468847.26699999999</v>
      </c>
      <c r="J129" s="225"/>
      <c r="K129" s="223">
        <v>0.29249999999999998</v>
      </c>
      <c r="L129" s="223">
        <f>K129</f>
        <v>0.29249999999999998</v>
      </c>
      <c r="M129" s="223">
        <f>L129</f>
        <v>0.29249999999999998</v>
      </c>
      <c r="N129" s="223">
        <f>M129</f>
        <v>0.29249999999999998</v>
      </c>
      <c r="O129" s="223">
        <f>N129</f>
        <v>0.29249999999999998</v>
      </c>
    </row>
    <row r="130" spans="1:15" x14ac:dyDescent="0.3">
      <c r="A130" s="94"/>
      <c r="B130" s="71" t="s">
        <v>73</v>
      </c>
      <c r="C130" s="143">
        <f>C128*0.19</f>
        <v>225350.86799999999</v>
      </c>
      <c r="D130" s="143">
        <f t="shared" ref="D130:F130" si="53">D128*0.19</f>
        <v>22287</v>
      </c>
      <c r="E130" s="143">
        <f t="shared" si="53"/>
        <v>24700</v>
      </c>
      <c r="F130" s="143">
        <f t="shared" si="53"/>
        <v>4077.4</v>
      </c>
      <c r="G130" s="143">
        <f>G128*0.145</f>
        <v>17565.3</v>
      </c>
      <c r="H130" s="143">
        <f>H128*0.145</f>
        <v>0</v>
      </c>
      <c r="I130" s="143">
        <f t="shared" si="52"/>
        <v>293980.56800000003</v>
      </c>
      <c r="J130" s="225"/>
      <c r="K130" s="223">
        <v>0.18</v>
      </c>
      <c r="L130" s="223">
        <f>K130+0.5%</f>
        <v>0.185</v>
      </c>
      <c r="M130" s="223">
        <f>L130+0.5%</f>
        <v>0.19</v>
      </c>
      <c r="N130" s="223">
        <f>M130+0.5%</f>
        <v>0.19500000000000001</v>
      </c>
      <c r="O130" s="223">
        <f>N130+0.5%</f>
        <v>0.2</v>
      </c>
    </row>
    <row r="131" spans="1:15" x14ac:dyDescent="0.3">
      <c r="A131" s="67">
        <v>150</v>
      </c>
      <c r="B131" s="71" t="s">
        <v>74</v>
      </c>
      <c r="C131" s="142">
        <f>((((2500*C41)+(125*C41))+((2000*C42)+(125*C42))+((1500*(C43+C44+C45))+(125*(C43+C44+C45)))+(1000*(C46+C47))+(125*(C46+C47))+((300*(C48+C49+C50+C51+C52)+(125*(C48+C49+C50+C51+C52)))+((1000*(C37+C53+C54+C55+C56+C58))+(125*(C37+C53+C54+C55+C56+C58))))+(125*3)+(1000*3))*0.93)-C132</f>
        <v>29213.625</v>
      </c>
      <c r="D131" s="142">
        <f t="shared" ref="D131:H131" si="54">((((2500*D41)+(125*D41))+((2000*D42)+(125*D42))+((1500*(D43+D44+D45))+(125*(D43+D44+D45)))+(1000*(D46+D47))+(125*(D46+D47))+((300*(D48+D49+D50+D51+D52)+(125*(D48+D49+D50+D51+D52)))+((1000*(D37+D53+D54+D55+D56+D58))+(125*(D37+D53+D54+D55+D56+D58))))+(125*3)+(1000*3))*0.93)-D132</f>
        <v>4185</v>
      </c>
      <c r="E131" s="142">
        <f>((((2500*E41)+(125*E41))+((2000*E42)+(125*E42))+((1500*(E43+E44+E45))+(125*(E43+E44+E45)))+(1000*(E46+E47))+(125*(E46+E47))+((300*(E48+E49+E50+E51+E52)+(125*(E48+E49+E50+E51+E52)))+((1000*(E37+E53+E54+E55+E56+E58))+(125*(E37+E53+E54+E55+E56+E58))))+(125*3)+(1000*3))*0.93)-E132</f>
        <v>5754.375</v>
      </c>
      <c r="F131" s="142">
        <f t="shared" si="54"/>
        <v>3534</v>
      </c>
      <c r="G131" s="142">
        <v>0</v>
      </c>
      <c r="H131" s="142">
        <f t="shared" si="54"/>
        <v>3138.75</v>
      </c>
      <c r="I131" s="143">
        <f t="shared" si="52"/>
        <v>45825.75</v>
      </c>
      <c r="J131" s="225"/>
    </row>
    <row r="132" spans="1:15" x14ac:dyDescent="0.3">
      <c r="A132" s="67"/>
      <c r="B132" s="71" t="s">
        <v>75</v>
      </c>
      <c r="C132" s="143">
        <v>0</v>
      </c>
      <c r="D132" s="145"/>
      <c r="E132" s="145"/>
      <c r="F132" s="145"/>
      <c r="G132" s="145"/>
      <c r="H132" s="145"/>
      <c r="I132" s="143">
        <f t="shared" si="52"/>
        <v>0</v>
      </c>
      <c r="J132" s="225"/>
    </row>
    <row r="133" spans="1:15" x14ac:dyDescent="0.3">
      <c r="A133" s="67">
        <v>250</v>
      </c>
      <c r="B133" s="71" t="s">
        <v>76</v>
      </c>
      <c r="C133" s="145">
        <f>1800*2.5</f>
        <v>4500</v>
      </c>
      <c r="D133" s="145"/>
      <c r="E133" s="145"/>
      <c r="F133" s="145"/>
      <c r="G133" s="145"/>
      <c r="H133" s="145"/>
      <c r="I133" s="143">
        <f t="shared" si="52"/>
        <v>4500</v>
      </c>
      <c r="J133" s="225"/>
    </row>
    <row r="134" spans="1:15" ht="15" thickBot="1" x14ac:dyDescent="0.35">
      <c r="A134" s="74"/>
      <c r="B134" s="71" t="s">
        <v>77</v>
      </c>
      <c r="C134" s="153">
        <f>(175*10*C37)-C126</f>
        <v>30625</v>
      </c>
      <c r="D134" s="153">
        <f t="shared" ref="D134:H134" si="55">(175*10*D37)-D126</f>
        <v>0</v>
      </c>
      <c r="E134" s="153">
        <f t="shared" si="55"/>
        <v>4375</v>
      </c>
      <c r="F134" s="153">
        <f t="shared" si="55"/>
        <v>0</v>
      </c>
      <c r="G134" s="153">
        <f t="shared" si="55"/>
        <v>0</v>
      </c>
      <c r="H134" s="153">
        <f t="shared" si="55"/>
        <v>0</v>
      </c>
      <c r="I134" s="143">
        <f t="shared" si="52"/>
        <v>35000</v>
      </c>
      <c r="J134" s="225"/>
    </row>
    <row r="135" spans="1:15" ht="15" thickBot="1" x14ac:dyDescent="0.35">
      <c r="A135" s="95"/>
      <c r="B135" s="522" t="s">
        <v>446</v>
      </c>
      <c r="C135" s="523">
        <f>SUM(C129:C134)</f>
        <v>642541.51</v>
      </c>
      <c r="D135" s="523">
        <f t="shared" ref="D135:I135" si="56">SUM(D129:D134)</f>
        <v>61368.75</v>
      </c>
      <c r="E135" s="523">
        <f t="shared" si="56"/>
        <v>73504.375</v>
      </c>
      <c r="F135" s="523">
        <f t="shared" si="56"/>
        <v>13995.75</v>
      </c>
      <c r="G135" s="523">
        <f t="shared" si="56"/>
        <v>53604.45</v>
      </c>
      <c r="H135" s="523">
        <f t="shared" si="56"/>
        <v>3138.75</v>
      </c>
      <c r="I135" s="523">
        <f t="shared" si="56"/>
        <v>848153.58499999996</v>
      </c>
      <c r="J135" s="225"/>
    </row>
    <row r="136" spans="1:15" ht="15" thickBot="1" x14ac:dyDescent="0.35">
      <c r="A136" s="482"/>
      <c r="B136" s="524" t="s">
        <v>78</v>
      </c>
      <c r="C136" s="483">
        <f>C128+C135</f>
        <v>1828598.71</v>
      </c>
      <c r="D136" s="483">
        <f t="shared" ref="D136:I136" si="57">D128+D135</f>
        <v>178668.75</v>
      </c>
      <c r="E136" s="483">
        <f t="shared" si="57"/>
        <v>203504.375</v>
      </c>
      <c r="F136" s="483">
        <f t="shared" si="57"/>
        <v>35455.75</v>
      </c>
      <c r="G136" s="483">
        <f t="shared" si="57"/>
        <v>174744.45</v>
      </c>
      <c r="H136" s="483">
        <f t="shared" si="57"/>
        <v>3138.75</v>
      </c>
      <c r="I136" s="483">
        <f t="shared" si="57"/>
        <v>2424110.7850000001</v>
      </c>
      <c r="J136" s="225"/>
    </row>
    <row r="137" spans="1:15" x14ac:dyDescent="0.3">
      <c r="A137" s="98"/>
      <c r="B137" s="99" t="s">
        <v>79</v>
      </c>
      <c r="C137" s="150" t="str">
        <f t="shared" ref="C137:I137" si="58">C1</f>
        <v>Operating</v>
      </c>
      <c r="D137" s="150" t="str">
        <f t="shared" si="58"/>
        <v>Weights</v>
      </c>
      <c r="E137" s="150" t="str">
        <f t="shared" si="58"/>
        <v>SPED</v>
      </c>
      <c r="F137" s="150" t="str">
        <f t="shared" si="58"/>
        <v>NSLP</v>
      </c>
      <c r="G137" s="150" t="str">
        <f t="shared" si="58"/>
        <v>Title 1</v>
      </c>
      <c r="H137" s="150" t="str">
        <f t="shared" si="58"/>
        <v>Title 2</v>
      </c>
      <c r="I137" s="150" t="str">
        <f t="shared" si="58"/>
        <v>Total</v>
      </c>
      <c r="J137" s="230"/>
    </row>
    <row r="138" spans="1:15" x14ac:dyDescent="0.3">
      <c r="A138" s="94"/>
      <c r="B138" s="100" t="s">
        <v>80</v>
      </c>
      <c r="C138" s="143">
        <f>140*C19</f>
        <v>63000</v>
      </c>
      <c r="D138" s="145"/>
      <c r="E138" s="145"/>
      <c r="F138" s="145"/>
      <c r="G138" s="145"/>
      <c r="H138" s="145"/>
      <c r="I138" s="143">
        <f>SUM(C138:H138)</f>
        <v>63000</v>
      </c>
      <c r="J138" s="225"/>
    </row>
    <row r="139" spans="1:15" hidden="1" x14ac:dyDescent="0.3">
      <c r="A139" s="94"/>
      <c r="B139" s="527" t="s">
        <v>435</v>
      </c>
      <c r="C139" s="143">
        <v>0</v>
      </c>
      <c r="D139" s="145"/>
      <c r="E139" s="145"/>
      <c r="F139" s="145"/>
      <c r="G139" s="145"/>
      <c r="H139" s="145"/>
      <c r="I139" s="143">
        <f>SUM(C139:H139)</f>
        <v>0</v>
      </c>
      <c r="J139" s="225"/>
    </row>
    <row r="140" spans="1:15" x14ac:dyDescent="0.3">
      <c r="A140" s="94"/>
      <c r="B140" s="410" t="s">
        <v>461</v>
      </c>
      <c r="C140" s="145">
        <v>28000</v>
      </c>
      <c r="D140" s="145"/>
      <c r="E140" s="145"/>
      <c r="F140" s="145"/>
      <c r="G140" s="145"/>
      <c r="H140" s="145"/>
      <c r="I140" s="143">
        <f>SUM(C140:H140)</f>
        <v>28000</v>
      </c>
      <c r="J140" s="225" t="s">
        <v>400</v>
      </c>
    </row>
    <row r="141" spans="1:15" x14ac:dyDescent="0.3">
      <c r="A141" s="94"/>
      <c r="B141" s="409" t="s">
        <v>437</v>
      </c>
      <c r="C141" s="145">
        <v>0</v>
      </c>
      <c r="D141" s="145"/>
      <c r="E141" s="145"/>
      <c r="F141" s="145"/>
      <c r="G141" s="145"/>
      <c r="H141" s="145"/>
      <c r="I141" s="143">
        <f>SUM(C141:H141)</f>
        <v>0</v>
      </c>
      <c r="J141" s="225"/>
    </row>
    <row r="142" spans="1:15" x14ac:dyDescent="0.3">
      <c r="A142" s="67">
        <v>610</v>
      </c>
      <c r="B142" s="71" t="s">
        <v>83</v>
      </c>
      <c r="C142" s="143">
        <f>14*C19</f>
        <v>6300</v>
      </c>
      <c r="D142" s="145"/>
      <c r="E142" s="145"/>
      <c r="F142" s="145">
        <v>3500</v>
      </c>
      <c r="G142" s="145"/>
      <c r="H142" s="145"/>
      <c r="I142" s="143">
        <f t="shared" ref="I142:I147" si="59">SUM(C142:H142)</f>
        <v>9800</v>
      </c>
      <c r="J142" s="225"/>
    </row>
    <row r="143" spans="1:15" x14ac:dyDescent="0.3">
      <c r="A143" s="67">
        <v>610</v>
      </c>
      <c r="B143" s="71" t="s">
        <v>84</v>
      </c>
      <c r="C143" s="143">
        <f>29*C19</f>
        <v>13050</v>
      </c>
      <c r="D143" s="145"/>
      <c r="E143" s="145"/>
      <c r="F143" s="145"/>
      <c r="G143" s="145">
        <v>20000</v>
      </c>
      <c r="H143" s="145"/>
      <c r="I143" s="143">
        <f t="shared" si="59"/>
        <v>33050</v>
      </c>
      <c r="J143" s="225"/>
    </row>
    <row r="144" spans="1:15" x14ac:dyDescent="0.3">
      <c r="A144" s="67">
        <v>610</v>
      </c>
      <c r="B144" s="71" t="s">
        <v>85</v>
      </c>
      <c r="C144" s="143">
        <f>4.25*C19</f>
        <v>1912.5</v>
      </c>
      <c r="D144" s="145"/>
      <c r="E144" s="145"/>
      <c r="F144" s="145"/>
      <c r="G144" s="145"/>
      <c r="H144" s="145"/>
      <c r="I144" s="143">
        <f t="shared" si="59"/>
        <v>1912.5</v>
      </c>
      <c r="J144" s="225"/>
    </row>
    <row r="145" spans="1:17" x14ac:dyDescent="0.3">
      <c r="A145" s="67">
        <v>610</v>
      </c>
      <c r="B145" s="71" t="s">
        <v>86</v>
      </c>
      <c r="C145" s="143">
        <f>3.25*C19</f>
        <v>1462.5</v>
      </c>
      <c r="D145" s="145"/>
      <c r="E145" s="145"/>
      <c r="F145" s="145"/>
      <c r="G145" s="145"/>
      <c r="H145" s="145"/>
      <c r="I145" s="143">
        <f t="shared" si="59"/>
        <v>1462.5</v>
      </c>
      <c r="J145" s="225"/>
    </row>
    <row r="146" spans="1:17" x14ac:dyDescent="0.3">
      <c r="A146" s="67">
        <v>610</v>
      </c>
      <c r="B146" s="71" t="s">
        <v>87</v>
      </c>
      <c r="C146" s="143">
        <f>120*C22</f>
        <v>0</v>
      </c>
      <c r="D146" s="145"/>
      <c r="E146" s="145">
        <f>129*E22</f>
        <v>6966</v>
      </c>
      <c r="F146" s="145"/>
      <c r="G146" s="145"/>
      <c r="H146" s="145"/>
      <c r="I146" s="143">
        <f t="shared" si="59"/>
        <v>6966</v>
      </c>
      <c r="J146" s="225"/>
    </row>
    <row r="147" spans="1:17" ht="15" thickBot="1" x14ac:dyDescent="0.35">
      <c r="A147" s="102"/>
      <c r="B147" s="71" t="s">
        <v>88</v>
      </c>
      <c r="C147" s="153">
        <v>0</v>
      </c>
      <c r="D147" s="153"/>
      <c r="E147" s="153"/>
      <c r="F147" s="153"/>
      <c r="G147" s="153"/>
      <c r="H147" s="153"/>
      <c r="I147" s="143">
        <f t="shared" si="59"/>
        <v>0</v>
      </c>
      <c r="J147" s="225"/>
    </row>
    <row r="148" spans="1:17" s="222" customFormat="1" ht="15" thickBot="1" x14ac:dyDescent="0.35">
      <c r="A148" s="103"/>
      <c r="B148" s="528" t="s">
        <v>89</v>
      </c>
      <c r="C148" s="483">
        <f>SUM(C138:C147)</f>
        <v>113725</v>
      </c>
      <c r="D148" s="483">
        <f t="shared" ref="D148:I148" si="60">SUM(D138:D147)</f>
        <v>0</v>
      </c>
      <c r="E148" s="483">
        <f t="shared" si="60"/>
        <v>6966</v>
      </c>
      <c r="F148" s="483">
        <f t="shared" si="60"/>
        <v>3500</v>
      </c>
      <c r="G148" s="483">
        <f t="shared" si="60"/>
        <v>20000</v>
      </c>
      <c r="H148" s="483">
        <f t="shared" si="60"/>
        <v>0</v>
      </c>
      <c r="I148" s="483">
        <f t="shared" si="60"/>
        <v>144191</v>
      </c>
      <c r="J148" s="237"/>
    </row>
    <row r="149" spans="1:17" s="222" customFormat="1" ht="15" thickBot="1" x14ac:dyDescent="0.35">
      <c r="A149" s="107"/>
      <c r="B149" s="108" t="s">
        <v>90</v>
      </c>
      <c r="C149" s="162"/>
      <c r="D149" s="162"/>
      <c r="E149" s="162"/>
      <c r="F149" s="162"/>
      <c r="G149" s="162"/>
      <c r="H149" s="162"/>
      <c r="I149" s="162"/>
      <c r="J149" s="237"/>
    </row>
    <row r="150" spans="1:17" s="222" customFormat="1" x14ac:dyDescent="0.3">
      <c r="A150" s="78">
        <v>320</v>
      </c>
      <c r="B150" s="71" t="s">
        <v>91</v>
      </c>
      <c r="C150" s="163">
        <v>0</v>
      </c>
      <c r="D150" s="145">
        <f>12000*1.03</f>
        <v>12360</v>
      </c>
      <c r="E150" s="145"/>
      <c r="F150" s="145"/>
      <c r="G150" s="145"/>
      <c r="H150" s="145"/>
      <c r="I150" s="143">
        <f t="shared" ref="I150:I160" si="61">SUM(C150:H150)</f>
        <v>12360</v>
      </c>
      <c r="J150" s="237"/>
      <c r="K150" s="219"/>
    </row>
    <row r="151" spans="1:17" x14ac:dyDescent="0.3">
      <c r="A151" s="67">
        <v>300</v>
      </c>
      <c r="B151" s="71" t="s">
        <v>92</v>
      </c>
      <c r="C151" s="145">
        <v>0</v>
      </c>
      <c r="D151" s="143"/>
      <c r="E151" s="143">
        <f>235*C19</f>
        <v>105750</v>
      </c>
      <c r="F151" s="143"/>
      <c r="G151" s="143"/>
      <c r="H151" s="143"/>
      <c r="I151" s="143">
        <f t="shared" si="61"/>
        <v>105750</v>
      </c>
      <c r="J151" s="225"/>
    </row>
    <row r="152" spans="1:17" x14ac:dyDescent="0.3">
      <c r="A152" s="67">
        <v>310</v>
      </c>
      <c r="B152" s="71" t="s">
        <v>347</v>
      </c>
      <c r="C152" s="145">
        <v>0</v>
      </c>
      <c r="D152" s="143"/>
      <c r="E152" s="143"/>
      <c r="F152" s="143"/>
      <c r="G152" s="143"/>
      <c r="H152" s="143"/>
      <c r="I152" s="143">
        <f t="shared" si="61"/>
        <v>0</v>
      </c>
      <c r="J152" s="225"/>
      <c r="K152" s="259"/>
      <c r="L152" s="259"/>
      <c r="M152" s="259"/>
      <c r="N152" s="259"/>
      <c r="O152" s="259"/>
    </row>
    <row r="153" spans="1:17" x14ac:dyDescent="0.3">
      <c r="A153" s="67">
        <v>310</v>
      </c>
      <c r="B153" s="71" t="s">
        <v>224</v>
      </c>
      <c r="C153" s="145">
        <f>450*C19</f>
        <v>202500</v>
      </c>
      <c r="D153" s="143"/>
      <c r="E153" s="143"/>
      <c r="F153" s="143"/>
      <c r="G153" s="143"/>
      <c r="H153" s="143"/>
      <c r="I153" s="143">
        <f t="shared" si="61"/>
        <v>202500</v>
      </c>
      <c r="J153" s="225"/>
      <c r="K153" s="259"/>
      <c r="L153" s="259"/>
      <c r="M153" s="259"/>
      <c r="N153" s="259"/>
      <c r="O153" s="259"/>
      <c r="Q153" s="365"/>
    </row>
    <row r="154" spans="1:17" x14ac:dyDescent="0.3">
      <c r="A154" s="67">
        <v>310</v>
      </c>
      <c r="B154" s="71" t="s">
        <v>93</v>
      </c>
      <c r="C154" s="145">
        <f>(240*C64)+1500</f>
        <v>7140</v>
      </c>
      <c r="D154" s="143">
        <f>(240*D64)</f>
        <v>240</v>
      </c>
      <c r="E154" s="143">
        <f>(240*E64)</f>
        <v>600</v>
      </c>
      <c r="F154" s="143">
        <f>(240*F64)</f>
        <v>240</v>
      </c>
      <c r="G154" s="143">
        <f>(240*G64)</f>
        <v>960</v>
      </c>
      <c r="H154" s="143"/>
      <c r="I154" s="143">
        <f t="shared" si="61"/>
        <v>9180</v>
      </c>
      <c r="J154" s="225"/>
      <c r="K154" s="167"/>
      <c r="L154" s="167"/>
      <c r="M154" s="167"/>
      <c r="N154" s="167"/>
      <c r="O154" s="167"/>
    </row>
    <row r="155" spans="1:17" x14ac:dyDescent="0.3">
      <c r="A155" s="67">
        <v>340</v>
      </c>
      <c r="B155" s="71" t="s">
        <v>94</v>
      </c>
      <c r="C155" s="145">
        <f>'23-24'!C155*1.05</f>
        <v>21000</v>
      </c>
      <c r="D155" s="143"/>
      <c r="E155" s="143"/>
      <c r="F155" s="143"/>
      <c r="G155" s="143"/>
      <c r="H155" s="143"/>
      <c r="I155" s="143">
        <f t="shared" si="61"/>
        <v>21000</v>
      </c>
      <c r="J155" s="225"/>
    </row>
    <row r="156" spans="1:17" x14ac:dyDescent="0.3">
      <c r="A156" s="67">
        <v>340</v>
      </c>
      <c r="B156" s="71" t="s">
        <v>95</v>
      </c>
      <c r="C156" s="145">
        <v>5000</v>
      </c>
      <c r="D156" s="143"/>
      <c r="E156" s="143"/>
      <c r="F156" s="143"/>
      <c r="G156" s="143"/>
      <c r="H156" s="143"/>
      <c r="I156" s="143">
        <f t="shared" si="61"/>
        <v>5000</v>
      </c>
      <c r="J156" s="225"/>
    </row>
    <row r="157" spans="1:17" x14ac:dyDescent="0.3">
      <c r="A157" s="67">
        <v>352</v>
      </c>
      <c r="B157" s="71" t="s">
        <v>96</v>
      </c>
      <c r="C157" s="145">
        <f>45*C19</f>
        <v>20250</v>
      </c>
      <c r="D157" s="143"/>
      <c r="E157" s="143"/>
      <c r="F157" s="143"/>
      <c r="G157" s="143"/>
      <c r="H157" s="143"/>
      <c r="I157" s="143">
        <f t="shared" si="61"/>
        <v>20250</v>
      </c>
      <c r="J157" s="225"/>
    </row>
    <row r="158" spans="1:17" x14ac:dyDescent="0.3">
      <c r="A158" s="67">
        <v>350</v>
      </c>
      <c r="B158" s="71" t="s">
        <v>97</v>
      </c>
      <c r="C158" s="145">
        <v>10000</v>
      </c>
      <c r="D158" s="143"/>
      <c r="E158" s="143"/>
      <c r="F158" s="143"/>
      <c r="G158" s="143"/>
      <c r="H158" s="143"/>
      <c r="I158" s="143">
        <f t="shared" si="61"/>
        <v>10000</v>
      </c>
      <c r="J158" s="225"/>
    </row>
    <row r="159" spans="1:17" x14ac:dyDescent="0.3">
      <c r="A159" s="67">
        <v>591</v>
      </c>
      <c r="B159" s="71" t="s">
        <v>98</v>
      </c>
      <c r="C159" s="145">
        <f>(I86+I89+I92+I93+I94)*0.0125</f>
        <v>45159.638906737498</v>
      </c>
      <c r="D159" s="143">
        <f>(D79+D80+D81)*0.0125</f>
        <v>1822.1907524999999</v>
      </c>
      <c r="E159" s="143"/>
      <c r="F159" s="143"/>
      <c r="G159" s="143"/>
      <c r="H159" s="143"/>
      <c r="I159" s="143">
        <f t="shared" si="61"/>
        <v>46981.829659237497</v>
      </c>
      <c r="J159" s="238"/>
    </row>
    <row r="160" spans="1:17" hidden="1" x14ac:dyDescent="0.3">
      <c r="A160" s="67">
        <v>320</v>
      </c>
      <c r="B160" s="71" t="s">
        <v>341</v>
      </c>
      <c r="C160" s="142"/>
      <c r="D160" s="143"/>
      <c r="E160" s="143"/>
      <c r="F160" s="143"/>
      <c r="G160" s="143"/>
      <c r="H160" s="143"/>
      <c r="I160" s="143">
        <f t="shared" si="61"/>
        <v>0</v>
      </c>
      <c r="J160" s="238"/>
      <c r="K160" s="259"/>
      <c r="L160" s="259"/>
      <c r="M160" s="259"/>
      <c r="N160" s="259"/>
      <c r="O160" s="259"/>
    </row>
    <row r="161" spans="1:15" hidden="1" x14ac:dyDescent="0.3">
      <c r="A161" s="67"/>
      <c r="B161" s="71"/>
      <c r="C161" s="142"/>
      <c r="D161" s="143"/>
      <c r="E161" s="143"/>
      <c r="F161" s="143"/>
      <c r="G161" s="143"/>
      <c r="H161" s="143"/>
      <c r="I161" s="143"/>
      <c r="J161" s="238"/>
      <c r="K161" s="259"/>
      <c r="L161" s="259"/>
      <c r="M161" s="259"/>
      <c r="N161" s="259"/>
      <c r="O161" s="259"/>
    </row>
    <row r="162" spans="1:15" ht="15" thickBot="1" x14ac:dyDescent="0.35">
      <c r="A162" s="67">
        <v>330</v>
      </c>
      <c r="B162" s="71" t="s">
        <v>381</v>
      </c>
      <c r="C162" s="145">
        <f>C86*0.005</f>
        <v>16839.079261694998</v>
      </c>
      <c r="D162" s="143"/>
      <c r="E162" s="143"/>
      <c r="F162" s="143"/>
      <c r="G162" s="143"/>
      <c r="H162" s="143">
        <f>H78</f>
        <v>25500</v>
      </c>
      <c r="I162" s="143">
        <f>SUM(C162:H162)</f>
        <v>42339.079261694998</v>
      </c>
      <c r="J162" s="238"/>
    </row>
    <row r="163" spans="1:15" ht="15" thickBot="1" x14ac:dyDescent="0.35">
      <c r="A163" s="103"/>
      <c r="B163" s="528" t="s">
        <v>447</v>
      </c>
      <c r="C163" s="483">
        <f>SUM(C150:C162)</f>
        <v>327888.71816843248</v>
      </c>
      <c r="D163" s="483">
        <f t="shared" ref="D163:I163" si="62">SUM(D150:D162)</f>
        <v>14422.190752500001</v>
      </c>
      <c r="E163" s="483">
        <f t="shared" si="62"/>
        <v>106350</v>
      </c>
      <c r="F163" s="483">
        <f t="shared" si="62"/>
        <v>240</v>
      </c>
      <c r="G163" s="483">
        <f t="shared" si="62"/>
        <v>960</v>
      </c>
      <c r="H163" s="483">
        <f t="shared" si="62"/>
        <v>25500</v>
      </c>
      <c r="I163" s="483">
        <f t="shared" si="62"/>
        <v>475360.9089209325</v>
      </c>
      <c r="J163" s="225"/>
      <c r="K163" s="260"/>
      <c r="L163" s="260"/>
      <c r="M163" s="260"/>
      <c r="N163" s="260"/>
      <c r="O163" s="260"/>
    </row>
    <row r="164" spans="1:15" ht="15" thickBot="1" x14ac:dyDescent="0.35">
      <c r="A164" s="107"/>
      <c r="B164" s="529" t="s">
        <v>448</v>
      </c>
      <c r="C164" s="150" t="str">
        <f t="shared" ref="C164:I164" si="63">C1</f>
        <v>Operating</v>
      </c>
      <c r="D164" s="150" t="str">
        <f t="shared" si="63"/>
        <v>Weights</v>
      </c>
      <c r="E164" s="150" t="str">
        <f t="shared" si="63"/>
        <v>SPED</v>
      </c>
      <c r="F164" s="150" t="str">
        <f t="shared" si="63"/>
        <v>NSLP</v>
      </c>
      <c r="G164" s="150" t="str">
        <f t="shared" si="63"/>
        <v>Title 1</v>
      </c>
      <c r="H164" s="150" t="str">
        <f t="shared" si="63"/>
        <v>Title 2</v>
      </c>
      <c r="I164" s="150" t="str">
        <f t="shared" si="63"/>
        <v>Total</v>
      </c>
      <c r="J164" s="230"/>
    </row>
    <row r="165" spans="1:15" x14ac:dyDescent="0.3">
      <c r="A165" s="67">
        <v>533</v>
      </c>
      <c r="B165" s="71" t="s">
        <v>103</v>
      </c>
      <c r="C165" s="143">
        <f>'23-24'!C165*1.05</f>
        <v>6615</v>
      </c>
      <c r="D165" s="143"/>
      <c r="E165" s="143"/>
      <c r="F165" s="143"/>
      <c r="G165" s="143"/>
      <c r="H165" s="143"/>
      <c r="I165" s="143">
        <f t="shared" ref="I165:I171" si="64">SUM(C165:H165)</f>
        <v>6615</v>
      </c>
      <c r="J165" s="225"/>
    </row>
    <row r="166" spans="1:15" x14ac:dyDescent="0.3">
      <c r="A166" s="67">
        <v>535</v>
      </c>
      <c r="B166" s="71" t="s">
        <v>104</v>
      </c>
      <c r="C166" s="143">
        <f>'23-24'!C166*1.05</f>
        <v>7717.5</v>
      </c>
      <c r="D166" s="143"/>
      <c r="E166" s="143"/>
      <c r="F166" s="143"/>
      <c r="G166" s="143"/>
      <c r="H166" s="143"/>
      <c r="I166" s="143">
        <f t="shared" si="64"/>
        <v>7717.5</v>
      </c>
      <c r="J166" s="225"/>
    </row>
    <row r="167" spans="1:15" x14ac:dyDescent="0.3">
      <c r="A167" s="67">
        <v>534</v>
      </c>
      <c r="B167" s="71" t="s">
        <v>105</v>
      </c>
      <c r="C167" s="143">
        <v>0</v>
      </c>
      <c r="D167" s="143"/>
      <c r="E167" s="143"/>
      <c r="F167" s="143"/>
      <c r="G167" s="143"/>
      <c r="H167" s="143"/>
      <c r="I167" s="143">
        <f t="shared" si="64"/>
        <v>0</v>
      </c>
      <c r="J167" s="225"/>
    </row>
    <row r="168" spans="1:15" x14ac:dyDescent="0.3">
      <c r="A168" s="67">
        <v>531</v>
      </c>
      <c r="B168" s="71" t="s">
        <v>106</v>
      </c>
      <c r="C168" s="143">
        <v>1250</v>
      </c>
      <c r="D168" s="143"/>
      <c r="E168" s="143"/>
      <c r="F168" s="143"/>
      <c r="G168" s="143"/>
      <c r="H168" s="143"/>
      <c r="I168" s="143">
        <f t="shared" si="64"/>
        <v>1250</v>
      </c>
      <c r="J168" s="225"/>
    </row>
    <row r="169" spans="1:15" x14ac:dyDescent="0.3">
      <c r="A169" s="67">
        <v>535</v>
      </c>
      <c r="B169" s="71" t="s">
        <v>107</v>
      </c>
      <c r="C169" s="143">
        <f>'23-24'!C169*1.02</f>
        <v>5202</v>
      </c>
      <c r="D169" s="143"/>
      <c r="E169" s="143"/>
      <c r="F169" s="143"/>
      <c r="G169" s="143"/>
      <c r="H169" s="143"/>
      <c r="I169" s="143">
        <f t="shared" si="64"/>
        <v>5202</v>
      </c>
      <c r="J169" s="225"/>
    </row>
    <row r="170" spans="1:15" x14ac:dyDescent="0.3">
      <c r="A170" s="67">
        <v>443</v>
      </c>
      <c r="B170" s="71" t="s">
        <v>108</v>
      </c>
      <c r="C170" s="143">
        <v>18000</v>
      </c>
      <c r="D170" s="143"/>
      <c r="E170" s="143"/>
      <c r="F170" s="143"/>
      <c r="G170" s="143"/>
      <c r="H170" s="143"/>
      <c r="I170" s="143">
        <f t="shared" si="64"/>
        <v>18000</v>
      </c>
      <c r="J170" s="225"/>
    </row>
    <row r="171" spans="1:15" ht="15" thickBot="1" x14ac:dyDescent="0.35">
      <c r="A171" s="67">
        <v>651</v>
      </c>
      <c r="B171" s="71" t="s">
        <v>109</v>
      </c>
      <c r="C171" s="143">
        <f>2500+(C19*2)</f>
        <v>3400</v>
      </c>
      <c r="D171" s="143"/>
      <c r="E171" s="143"/>
      <c r="F171" s="143"/>
      <c r="G171" s="143"/>
      <c r="H171" s="143"/>
      <c r="I171" s="143">
        <f t="shared" si="64"/>
        <v>3400</v>
      </c>
      <c r="J171" s="225"/>
    </row>
    <row r="172" spans="1:15" ht="15" thickBot="1" x14ac:dyDescent="0.35">
      <c r="A172" s="103"/>
      <c r="B172" s="528" t="s">
        <v>449</v>
      </c>
      <c r="C172" s="483">
        <f>SUM(C165:C171)</f>
        <v>42184.5</v>
      </c>
      <c r="D172" s="483">
        <f t="shared" ref="D172:I172" si="65">SUM(D165:D171)</f>
        <v>0</v>
      </c>
      <c r="E172" s="483">
        <f t="shared" si="65"/>
        <v>0</v>
      </c>
      <c r="F172" s="483">
        <f t="shared" si="65"/>
        <v>0</v>
      </c>
      <c r="G172" s="483">
        <f t="shared" si="65"/>
        <v>0</v>
      </c>
      <c r="H172" s="483">
        <f t="shared" si="65"/>
        <v>0</v>
      </c>
      <c r="I172" s="483">
        <f t="shared" si="65"/>
        <v>42184.5</v>
      </c>
      <c r="J172" s="225"/>
    </row>
    <row r="173" spans="1:15" ht="15" thickBot="1" x14ac:dyDescent="0.35">
      <c r="A173" s="107"/>
      <c r="B173" s="108" t="s">
        <v>111</v>
      </c>
      <c r="C173" s="162"/>
      <c r="D173" s="162"/>
      <c r="E173" s="162"/>
      <c r="F173" s="162"/>
      <c r="G173" s="162"/>
      <c r="H173" s="162"/>
      <c r="I173" s="162"/>
      <c r="J173" s="225"/>
    </row>
    <row r="174" spans="1:15" x14ac:dyDescent="0.3">
      <c r="A174" s="67">
        <v>521</v>
      </c>
      <c r="B174" s="71" t="s">
        <v>410</v>
      </c>
      <c r="C174" s="145">
        <f>'23-24'!C174*1.1</f>
        <v>8470.0000000000018</v>
      </c>
      <c r="D174" s="143"/>
      <c r="E174" s="143"/>
      <c r="F174" s="143"/>
      <c r="G174" s="143"/>
      <c r="H174" s="143"/>
      <c r="I174" s="143">
        <f>SUM(C174:H174)</f>
        <v>8470.0000000000018</v>
      </c>
      <c r="J174" s="225"/>
    </row>
    <row r="175" spans="1:15" x14ac:dyDescent="0.3">
      <c r="A175" s="67">
        <v>522</v>
      </c>
      <c r="B175" s="71" t="s">
        <v>113</v>
      </c>
      <c r="C175" s="145">
        <f>'23-24'!C175*1.1</f>
        <v>6050.0000000000009</v>
      </c>
      <c r="D175" s="143"/>
      <c r="E175" s="143"/>
      <c r="F175" s="143"/>
      <c r="G175" s="143"/>
      <c r="H175" s="143"/>
      <c r="I175" s="143">
        <f>SUM(C175:H175)</f>
        <v>6050.0000000000009</v>
      </c>
      <c r="J175" s="225"/>
      <c r="K175" s="408"/>
    </row>
    <row r="176" spans="1:15" ht="15" thickBot="1" x14ac:dyDescent="0.35">
      <c r="A176" s="67">
        <v>523</v>
      </c>
      <c r="B176" s="71" t="s">
        <v>114</v>
      </c>
      <c r="C176" s="145">
        <f>'23-24'!C176*1.1</f>
        <v>16335.000000000004</v>
      </c>
      <c r="D176" s="143"/>
      <c r="E176" s="143"/>
      <c r="F176" s="143"/>
      <c r="G176" s="143"/>
      <c r="H176" s="143"/>
      <c r="I176" s="143">
        <f>SUM(C176:H176)</f>
        <v>16335.000000000004</v>
      </c>
      <c r="J176" s="225"/>
    </row>
    <row r="177" spans="1:13" ht="15" thickBot="1" x14ac:dyDescent="0.35">
      <c r="A177" s="103"/>
      <c r="B177" s="528" t="s">
        <v>450</v>
      </c>
      <c r="C177" s="483">
        <f>SUM(C174:C176)</f>
        <v>30855.000000000007</v>
      </c>
      <c r="D177" s="483">
        <f t="shared" ref="D177:I177" si="66">SUM(D174:D176)</f>
        <v>0</v>
      </c>
      <c r="E177" s="483">
        <f t="shared" si="66"/>
        <v>0</v>
      </c>
      <c r="F177" s="483">
        <f t="shared" si="66"/>
        <v>0</v>
      </c>
      <c r="G177" s="483">
        <f t="shared" si="66"/>
        <v>0</v>
      </c>
      <c r="H177" s="483">
        <f t="shared" si="66"/>
        <v>0</v>
      </c>
      <c r="I177" s="483">
        <f t="shared" si="66"/>
        <v>30855.000000000007</v>
      </c>
      <c r="J177" s="225"/>
    </row>
    <row r="178" spans="1:13" ht="15" thickBot="1" x14ac:dyDescent="0.35">
      <c r="A178" s="107"/>
      <c r="B178" s="108" t="s">
        <v>116</v>
      </c>
      <c r="C178" s="162"/>
      <c r="D178" s="162"/>
      <c r="E178" s="162"/>
      <c r="F178" s="162"/>
      <c r="G178" s="162"/>
      <c r="H178" s="162"/>
      <c r="I178" s="162"/>
      <c r="J178" s="225"/>
    </row>
    <row r="179" spans="1:13" x14ac:dyDescent="0.3">
      <c r="A179" s="67">
        <v>570</v>
      </c>
      <c r="B179" s="71" t="s">
        <v>392</v>
      </c>
      <c r="C179" s="143">
        <f>((C19*C25)*3*180)</f>
        <v>0</v>
      </c>
      <c r="D179" s="143"/>
      <c r="E179" s="143"/>
      <c r="F179" s="143">
        <f>((C19*F25)*3.25*180)+((C19*F25)*2.5*180)</f>
        <v>400545</v>
      </c>
      <c r="G179" s="143"/>
      <c r="H179" s="143"/>
      <c r="I179" s="143">
        <f t="shared" ref="I179:I187" si="67">SUM(C179:H179)</f>
        <v>400545</v>
      </c>
      <c r="J179" s="239"/>
    </row>
    <row r="180" spans="1:13" x14ac:dyDescent="0.3">
      <c r="A180" s="67">
        <v>540</v>
      </c>
      <c r="B180" s="71" t="s">
        <v>118</v>
      </c>
      <c r="C180" s="145">
        <f>'23-24'!C180*1.04</f>
        <v>5408</v>
      </c>
      <c r="D180" s="143"/>
      <c r="E180" s="143"/>
      <c r="F180" s="143"/>
      <c r="G180" s="143"/>
      <c r="H180" s="143"/>
      <c r="I180" s="143">
        <f t="shared" si="67"/>
        <v>5408</v>
      </c>
      <c r="J180" s="225"/>
    </row>
    <row r="181" spans="1:13" x14ac:dyDescent="0.3">
      <c r="A181" s="67">
        <v>580</v>
      </c>
      <c r="B181" s="71" t="s">
        <v>119</v>
      </c>
      <c r="C181" s="143">
        <v>5000</v>
      </c>
      <c r="D181" s="143"/>
      <c r="E181" s="143"/>
      <c r="F181" s="143"/>
      <c r="G181" s="143"/>
      <c r="H181" s="143"/>
      <c r="I181" s="143">
        <f t="shared" si="67"/>
        <v>5000</v>
      </c>
      <c r="J181" s="225"/>
    </row>
    <row r="182" spans="1:13" x14ac:dyDescent="0.3">
      <c r="A182" s="67">
        <v>340</v>
      </c>
      <c r="B182" s="71" t="s">
        <v>120</v>
      </c>
      <c r="C182" s="143">
        <f>IF((I64-'23-24'!J64)*60&gt;600,(I64-'23-24'!J64)*60,600)</f>
        <v>600</v>
      </c>
      <c r="D182" s="143"/>
      <c r="E182" s="143"/>
      <c r="F182" s="143"/>
      <c r="G182" s="143"/>
      <c r="H182" s="143"/>
      <c r="I182" s="143">
        <f t="shared" si="67"/>
        <v>600</v>
      </c>
      <c r="J182" s="225"/>
    </row>
    <row r="183" spans="1:13" x14ac:dyDescent="0.3">
      <c r="A183" s="112">
        <v>810</v>
      </c>
      <c r="B183" s="71" t="s">
        <v>121</v>
      </c>
      <c r="C183" s="145">
        <v>7500</v>
      </c>
      <c r="D183" s="143"/>
      <c r="E183" s="143"/>
      <c r="F183" s="143"/>
      <c r="G183" s="143"/>
      <c r="H183" s="143"/>
      <c r="I183" s="143">
        <f t="shared" si="67"/>
        <v>7500</v>
      </c>
      <c r="J183" s="225"/>
    </row>
    <row r="184" spans="1:13" hidden="1" x14ac:dyDescent="0.3">
      <c r="A184" s="94"/>
      <c r="B184" s="71" t="s">
        <v>122</v>
      </c>
      <c r="C184" s="145"/>
      <c r="D184" s="143"/>
      <c r="E184" s="143"/>
      <c r="F184" s="143"/>
      <c r="G184" s="143"/>
      <c r="H184" s="143"/>
      <c r="I184" s="143">
        <f t="shared" si="67"/>
        <v>0</v>
      </c>
      <c r="J184" s="225"/>
    </row>
    <row r="185" spans="1:13" x14ac:dyDescent="0.3">
      <c r="A185" s="112"/>
      <c r="B185" s="71" t="s">
        <v>123</v>
      </c>
      <c r="C185" s="145"/>
      <c r="D185" s="143"/>
      <c r="E185" s="143"/>
      <c r="F185" s="143"/>
      <c r="G185" s="143"/>
      <c r="H185" s="143"/>
      <c r="I185" s="143">
        <f t="shared" si="67"/>
        <v>0</v>
      </c>
      <c r="J185" s="225"/>
    </row>
    <row r="186" spans="1:13" x14ac:dyDescent="0.3">
      <c r="A186" s="112"/>
      <c r="B186" s="71" t="s">
        <v>124</v>
      </c>
      <c r="C186" s="145">
        <v>0</v>
      </c>
      <c r="D186" s="143"/>
      <c r="E186" s="143"/>
      <c r="F186" s="143"/>
      <c r="G186" s="143"/>
      <c r="H186" s="143"/>
      <c r="I186" s="143">
        <f t="shared" si="67"/>
        <v>0</v>
      </c>
      <c r="J186" s="225" t="s">
        <v>404</v>
      </c>
      <c r="K186" s="260"/>
      <c r="L186" s="260"/>
      <c r="M186" s="261"/>
    </row>
    <row r="187" spans="1:13" ht="15" thickBot="1" x14ac:dyDescent="0.35">
      <c r="A187" s="67">
        <v>900</v>
      </c>
      <c r="B187" s="71" t="s">
        <v>125</v>
      </c>
      <c r="C187" s="143">
        <v>1000</v>
      </c>
      <c r="D187" s="143"/>
      <c r="E187" s="143"/>
      <c r="F187" s="143"/>
      <c r="G187" s="143"/>
      <c r="H187" s="143"/>
      <c r="I187" s="143">
        <f t="shared" si="67"/>
        <v>1000</v>
      </c>
      <c r="J187" s="225"/>
    </row>
    <row r="188" spans="1:13" ht="15" thickBot="1" x14ac:dyDescent="0.35">
      <c r="A188" s="103"/>
      <c r="B188" s="528" t="s">
        <v>451</v>
      </c>
      <c r="C188" s="483">
        <f>SUM(C179:C187)</f>
        <v>19508</v>
      </c>
      <c r="D188" s="483">
        <f t="shared" ref="D188:I188" si="68">SUM(D179:D187)</f>
        <v>0</v>
      </c>
      <c r="E188" s="483">
        <f t="shared" si="68"/>
        <v>0</v>
      </c>
      <c r="F188" s="483">
        <f t="shared" si="68"/>
        <v>400545</v>
      </c>
      <c r="G188" s="483">
        <f t="shared" si="68"/>
        <v>0</v>
      </c>
      <c r="H188" s="483">
        <f t="shared" si="68"/>
        <v>0</v>
      </c>
      <c r="I188" s="483">
        <f t="shared" si="68"/>
        <v>420053</v>
      </c>
      <c r="J188" s="225"/>
    </row>
    <row r="189" spans="1:13" ht="15" thickBot="1" x14ac:dyDescent="0.35">
      <c r="A189" s="107"/>
      <c r="B189" s="108" t="s">
        <v>127</v>
      </c>
      <c r="C189" s="150" t="str">
        <f t="shared" ref="C189:I189" si="69">C1</f>
        <v>Operating</v>
      </c>
      <c r="D189" s="150" t="str">
        <f t="shared" si="69"/>
        <v>Weights</v>
      </c>
      <c r="E189" s="150" t="str">
        <f t="shared" si="69"/>
        <v>SPED</v>
      </c>
      <c r="F189" s="150" t="str">
        <f t="shared" si="69"/>
        <v>NSLP</v>
      </c>
      <c r="G189" s="150" t="str">
        <f t="shared" si="69"/>
        <v>Title 1</v>
      </c>
      <c r="H189" s="150" t="str">
        <f t="shared" si="69"/>
        <v>Title 2</v>
      </c>
      <c r="I189" s="150" t="str">
        <f t="shared" si="69"/>
        <v>Total</v>
      </c>
      <c r="J189" s="230"/>
    </row>
    <row r="190" spans="1:13" x14ac:dyDescent="0.3">
      <c r="A190" s="78">
        <v>622</v>
      </c>
      <c r="B190" s="71" t="s">
        <v>325</v>
      </c>
      <c r="C190" s="157">
        <f>'23-24'!C190*1.25</f>
        <v>39750</v>
      </c>
      <c r="D190" s="143"/>
      <c r="E190" s="143"/>
      <c r="F190" s="143"/>
      <c r="G190" s="143"/>
      <c r="H190" s="143"/>
      <c r="I190" s="143">
        <f t="shared" ref="I190:I200" si="70">SUM(C190:H190)</f>
        <v>39750</v>
      </c>
      <c r="J190" s="225"/>
    </row>
    <row r="191" spans="1:13" x14ac:dyDescent="0.3">
      <c r="A191" s="67">
        <v>621</v>
      </c>
      <c r="B191" s="71" t="s">
        <v>129</v>
      </c>
      <c r="C191" s="157">
        <f>'23-24'!C191*1.06</f>
        <v>0</v>
      </c>
      <c r="D191" s="143"/>
      <c r="E191" s="143"/>
      <c r="F191" s="143"/>
      <c r="G191" s="143"/>
      <c r="H191" s="143"/>
      <c r="I191" s="143">
        <f t="shared" si="70"/>
        <v>0</v>
      </c>
      <c r="J191" s="225"/>
    </row>
    <row r="192" spans="1:13" x14ac:dyDescent="0.3">
      <c r="A192" s="67">
        <v>411</v>
      </c>
      <c r="B192" s="71" t="s">
        <v>130</v>
      </c>
      <c r="C192" s="157">
        <f>'23-24'!C192*1.06</f>
        <v>11236</v>
      </c>
      <c r="D192" s="143"/>
      <c r="E192" s="143"/>
      <c r="F192" s="143"/>
      <c r="G192" s="143"/>
      <c r="H192" s="143"/>
      <c r="I192" s="143">
        <f t="shared" si="70"/>
        <v>11236</v>
      </c>
      <c r="J192" s="225"/>
    </row>
    <row r="193" spans="1:15" x14ac:dyDescent="0.3">
      <c r="A193" s="67">
        <v>422</v>
      </c>
      <c r="B193" s="71" t="s">
        <v>131</v>
      </c>
      <c r="C193" s="157">
        <f>'23-24'!C193*1.06</f>
        <v>8427</v>
      </c>
      <c r="D193" s="143"/>
      <c r="E193" s="143"/>
      <c r="F193" s="143"/>
      <c r="G193" s="143"/>
      <c r="H193" s="143"/>
      <c r="I193" s="143">
        <f t="shared" si="70"/>
        <v>8427</v>
      </c>
      <c r="J193" s="225"/>
    </row>
    <row r="194" spans="1:15" x14ac:dyDescent="0.3">
      <c r="A194" s="67">
        <v>490</v>
      </c>
      <c r="B194" s="71" t="s">
        <v>132</v>
      </c>
      <c r="C194" s="157">
        <f>'23-24'!C194*1.03</f>
        <v>5304.5</v>
      </c>
      <c r="D194" s="143"/>
      <c r="E194" s="143"/>
      <c r="F194" s="143"/>
      <c r="G194" s="143"/>
      <c r="H194" s="143"/>
      <c r="I194" s="143">
        <f t="shared" si="70"/>
        <v>5304.5</v>
      </c>
      <c r="J194" s="225"/>
    </row>
    <row r="195" spans="1:15" x14ac:dyDescent="0.3">
      <c r="A195" s="67">
        <v>422</v>
      </c>
      <c r="B195" s="71" t="s">
        <v>133</v>
      </c>
      <c r="C195" s="142">
        <f>((45000)*0.145)*12</f>
        <v>78300</v>
      </c>
      <c r="D195" s="143"/>
      <c r="E195" s="143"/>
      <c r="F195" s="143"/>
      <c r="G195" s="143"/>
      <c r="H195" s="143"/>
      <c r="I195" s="143">
        <f t="shared" si="70"/>
        <v>78300</v>
      </c>
      <c r="J195" s="237"/>
    </row>
    <row r="196" spans="1:15" x14ac:dyDescent="0.3">
      <c r="A196" s="67">
        <v>610</v>
      </c>
      <c r="B196" s="71" t="s">
        <v>134</v>
      </c>
      <c r="C196" s="143">
        <f>32*C5</f>
        <v>14400</v>
      </c>
      <c r="D196" s="143"/>
      <c r="E196" s="143"/>
      <c r="F196" s="143"/>
      <c r="G196" s="143"/>
      <c r="H196" s="143"/>
      <c r="I196" s="143">
        <f t="shared" si="70"/>
        <v>14400</v>
      </c>
      <c r="J196" s="237"/>
    </row>
    <row r="197" spans="1:15" x14ac:dyDescent="0.3">
      <c r="A197" s="67" t="s">
        <v>135</v>
      </c>
      <c r="B197" s="71" t="s">
        <v>136</v>
      </c>
      <c r="C197" s="143">
        <v>10000</v>
      </c>
      <c r="D197" s="143"/>
      <c r="E197" s="143"/>
      <c r="F197" s="143"/>
      <c r="G197" s="143"/>
      <c r="H197" s="143"/>
      <c r="I197" s="143">
        <f t="shared" si="70"/>
        <v>10000</v>
      </c>
      <c r="J197" s="237"/>
    </row>
    <row r="198" spans="1:15" hidden="1" x14ac:dyDescent="0.3">
      <c r="A198" s="113"/>
      <c r="B198" s="71" t="s">
        <v>137</v>
      </c>
      <c r="C198" s="143">
        <v>0</v>
      </c>
      <c r="D198" s="143"/>
      <c r="E198" s="143"/>
      <c r="F198" s="143"/>
      <c r="G198" s="143"/>
      <c r="H198" s="143"/>
      <c r="I198" s="143">
        <f t="shared" si="70"/>
        <v>0</v>
      </c>
      <c r="J198" s="237"/>
    </row>
    <row r="199" spans="1:15" x14ac:dyDescent="0.3">
      <c r="A199" s="67">
        <v>420</v>
      </c>
      <c r="B199" s="71" t="s">
        <v>138</v>
      </c>
      <c r="C199" s="157">
        <f>'23-24'!C199*1.03</f>
        <v>6365.4000000000005</v>
      </c>
      <c r="D199" s="143"/>
      <c r="E199" s="143"/>
      <c r="F199" s="143"/>
      <c r="G199" s="143"/>
      <c r="H199" s="143"/>
      <c r="I199" s="143">
        <f t="shared" si="70"/>
        <v>6365.4000000000005</v>
      </c>
      <c r="J199" s="225"/>
    </row>
    <row r="200" spans="1:15" ht="15" thickBot="1" x14ac:dyDescent="0.35">
      <c r="A200" s="74">
        <v>431</v>
      </c>
      <c r="B200" s="71" t="s">
        <v>139</v>
      </c>
      <c r="C200" s="157">
        <f>'23-24'!C200*1.03</f>
        <v>7956.75</v>
      </c>
      <c r="D200" s="143"/>
      <c r="E200" s="143"/>
      <c r="F200" s="143"/>
      <c r="G200" s="143"/>
      <c r="H200" s="143"/>
      <c r="I200" s="143">
        <f t="shared" si="70"/>
        <v>7956.75</v>
      </c>
      <c r="J200" s="225"/>
    </row>
    <row r="201" spans="1:15" ht="15" thickBot="1" x14ac:dyDescent="0.35">
      <c r="A201" s="95"/>
      <c r="B201" s="528" t="s">
        <v>452</v>
      </c>
      <c r="C201" s="483">
        <f>SUM(C190:C200)</f>
        <v>181739.65</v>
      </c>
      <c r="D201" s="483">
        <f t="shared" ref="D201:F201" si="71">SUM(D190:D200)</f>
        <v>0</v>
      </c>
      <c r="E201" s="483">
        <f t="shared" si="71"/>
        <v>0</v>
      </c>
      <c r="F201" s="483">
        <f t="shared" si="71"/>
        <v>0</v>
      </c>
      <c r="G201" s="483">
        <f t="shared" ref="G201:I201" si="72">SUM(G190:G200)</f>
        <v>0</v>
      </c>
      <c r="H201" s="483">
        <f t="shared" si="72"/>
        <v>0</v>
      </c>
      <c r="I201" s="483">
        <f t="shared" si="72"/>
        <v>181739.65</v>
      </c>
      <c r="J201" s="225"/>
    </row>
    <row r="202" spans="1:15" ht="15" thickBot="1" x14ac:dyDescent="0.35">
      <c r="A202" s="114"/>
      <c r="B202" s="530"/>
      <c r="C202" s="154"/>
      <c r="D202" s="154"/>
      <c r="E202" s="154"/>
      <c r="F202" s="154"/>
      <c r="G202" s="154"/>
      <c r="H202" s="154"/>
      <c r="I202" s="154"/>
      <c r="J202" s="225"/>
    </row>
    <row r="203" spans="1:15" ht="15" thickBot="1" x14ac:dyDescent="0.35">
      <c r="A203" s="116"/>
      <c r="B203" s="528" t="s">
        <v>453</v>
      </c>
      <c r="C203" s="531">
        <f>C136+C148+C163+C172+C177+C188+C201</f>
        <v>2544499.5781684322</v>
      </c>
      <c r="D203" s="531">
        <f t="shared" ref="D203:F203" si="73">D136+D148+D163+D172+D177+D188+D201</f>
        <v>193090.9407525</v>
      </c>
      <c r="E203" s="531">
        <f t="shared" si="73"/>
        <v>316820.375</v>
      </c>
      <c r="F203" s="531">
        <f t="shared" si="73"/>
        <v>439740.75</v>
      </c>
      <c r="G203" s="531">
        <f t="shared" ref="G203:I203" si="74">G136+G148+G163+G172+G177+G188+G201</f>
        <v>195704.45</v>
      </c>
      <c r="H203" s="531">
        <f t="shared" si="74"/>
        <v>28638.75</v>
      </c>
      <c r="I203" s="531">
        <f t="shared" si="74"/>
        <v>3718494.8439209326</v>
      </c>
      <c r="J203" s="225"/>
      <c r="M203" s="221"/>
    </row>
    <row r="204" spans="1:15" x14ac:dyDescent="0.3">
      <c r="A204" s="78"/>
      <c r="B204" s="118"/>
      <c r="C204" s="157"/>
      <c r="D204" s="157"/>
      <c r="E204" s="157"/>
      <c r="F204" s="157"/>
      <c r="G204" s="157"/>
      <c r="H204" s="157"/>
      <c r="I204" s="157"/>
      <c r="J204" s="225"/>
    </row>
    <row r="205" spans="1:15" x14ac:dyDescent="0.3">
      <c r="A205" s="67"/>
      <c r="B205" s="533" t="s">
        <v>464</v>
      </c>
      <c r="C205" s="143">
        <v>0</v>
      </c>
      <c r="D205" s="143"/>
      <c r="E205" s="143"/>
      <c r="F205" s="143"/>
      <c r="G205" s="143"/>
      <c r="H205" s="143"/>
      <c r="I205" s="143"/>
      <c r="J205" s="225"/>
    </row>
    <row r="206" spans="1:15" x14ac:dyDescent="0.3">
      <c r="A206" s="67"/>
      <c r="B206" s="533" t="s">
        <v>142</v>
      </c>
      <c r="C206" s="143">
        <f>C19*(900)</f>
        <v>405000</v>
      </c>
      <c r="D206" s="143"/>
      <c r="E206" s="143"/>
      <c r="F206" s="143"/>
      <c r="G206" s="143"/>
      <c r="H206" s="143"/>
      <c r="I206" s="143">
        <f>SUM(C206:H206)</f>
        <v>405000</v>
      </c>
      <c r="K206" s="268"/>
      <c r="L206" s="238"/>
      <c r="M206" s="238"/>
      <c r="N206" s="238"/>
      <c r="O206" s="238"/>
    </row>
    <row r="207" spans="1:15" x14ac:dyDescent="0.3">
      <c r="A207" s="67"/>
      <c r="B207" s="533" t="s">
        <v>143</v>
      </c>
      <c r="C207" s="143">
        <v>0</v>
      </c>
      <c r="D207" s="143"/>
      <c r="E207" s="143"/>
      <c r="F207" s="143"/>
      <c r="G207" s="143"/>
      <c r="H207" s="143"/>
      <c r="I207" s="143">
        <f>SUM(C207:H207)</f>
        <v>0</v>
      </c>
      <c r="J207" s="225"/>
      <c r="K207" s="429"/>
    </row>
    <row r="208" spans="1:15" x14ac:dyDescent="0.3">
      <c r="A208" s="67"/>
      <c r="B208" s="533" t="s">
        <v>383</v>
      </c>
      <c r="C208" s="143">
        <v>0</v>
      </c>
      <c r="D208" s="143"/>
      <c r="E208" s="143"/>
      <c r="F208" s="143"/>
      <c r="G208" s="143"/>
      <c r="H208" s="143"/>
      <c r="I208" s="143">
        <f>SUM(C208:H208)</f>
        <v>0</v>
      </c>
      <c r="J208" s="430" t="s">
        <v>398</v>
      </c>
    </row>
    <row r="209" spans="1:10" x14ac:dyDescent="0.3">
      <c r="A209" s="67"/>
      <c r="B209" s="139"/>
      <c r="C209" s="143">
        <v>0</v>
      </c>
      <c r="D209" s="143">
        <v>0</v>
      </c>
      <c r="E209" s="143">
        <v>0</v>
      </c>
      <c r="F209" s="143">
        <v>0</v>
      </c>
      <c r="G209" s="143">
        <v>0</v>
      </c>
      <c r="H209" s="143"/>
      <c r="I209" s="143">
        <f>SUM(C209:H209)</f>
        <v>0</v>
      </c>
      <c r="J209" s="225"/>
    </row>
    <row r="210" spans="1:10" ht="15" thickBot="1" x14ac:dyDescent="0.35">
      <c r="A210" s="74"/>
      <c r="B210" s="62"/>
      <c r="C210" s="153"/>
      <c r="D210" s="153"/>
      <c r="E210" s="153"/>
      <c r="F210" s="153"/>
      <c r="G210" s="153"/>
      <c r="H210" s="153"/>
      <c r="I210" s="153"/>
      <c r="J210" s="225"/>
    </row>
    <row r="211" spans="1:10" ht="15" thickBot="1" x14ac:dyDescent="0.35">
      <c r="A211" s="116"/>
      <c r="B211" s="536" t="s">
        <v>145</v>
      </c>
      <c r="C211" s="537">
        <f>C85-C203-C205-C206-C208-C207</f>
        <v>418316.27417056728</v>
      </c>
      <c r="D211" s="538">
        <f t="shared" ref="D211:I211" si="75">D85-D203-D205-D206-D208-D207</f>
        <v>-47315.680552500009</v>
      </c>
      <c r="E211" s="538">
        <f t="shared" si="75"/>
        <v>-183440.375</v>
      </c>
      <c r="F211" s="538">
        <f t="shared" si="75"/>
        <v>-67756.349999999977</v>
      </c>
      <c r="G211" s="538">
        <f t="shared" si="75"/>
        <v>-56384.450000000012</v>
      </c>
      <c r="H211" s="538">
        <f t="shared" si="75"/>
        <v>-3138.75</v>
      </c>
      <c r="I211" s="538">
        <f t="shared" si="75"/>
        <v>60280.668618067168</v>
      </c>
      <c r="J211" s="225"/>
    </row>
    <row r="212" spans="1:10" ht="15" thickBot="1" x14ac:dyDescent="0.35">
      <c r="A212" s="78"/>
      <c r="B212" s="123"/>
      <c r="C212" s="165">
        <f>C211/(C85-C74)</f>
        <v>0.12420996055352618</v>
      </c>
      <c r="D212" s="165">
        <f>D211/(D85-D74)</f>
        <v>-0.32457963366063686</v>
      </c>
      <c r="E212" s="165">
        <f>E211/(E85-E74)</f>
        <v>-1.3753214499925026</v>
      </c>
      <c r="F212" s="165" t="e">
        <f>F211/(F85-F74)</f>
        <v>#DIV/0!</v>
      </c>
      <c r="G212" s="165">
        <f>G211/(G85-G74)</f>
        <v>-0.4047118145277061</v>
      </c>
      <c r="H212" s="165"/>
      <c r="I212" s="165">
        <f>I211/(I85-I74)</f>
        <v>1.5814263383891136E-2</v>
      </c>
      <c r="J212" s="225"/>
    </row>
    <row r="213" spans="1:10" x14ac:dyDescent="0.3">
      <c r="B213" s="3" t="str">
        <f t="shared" ref="B213:G213" si="76">B1</f>
        <v>Young Women's Leadership Academy - FY24</v>
      </c>
      <c r="C213" s="3" t="str">
        <f t="shared" si="76"/>
        <v>Operating</v>
      </c>
      <c r="D213" s="3" t="str">
        <f t="shared" si="76"/>
        <v>Weights</v>
      </c>
      <c r="E213" s="3" t="str">
        <f t="shared" si="76"/>
        <v>SPED</v>
      </c>
      <c r="F213" s="3" t="str">
        <f t="shared" si="76"/>
        <v>NSLP</v>
      </c>
      <c r="G213" s="3" t="str">
        <f t="shared" si="76"/>
        <v>Title 1</v>
      </c>
      <c r="H213" s="3"/>
      <c r="I213" s="3" t="str">
        <f>I1</f>
        <v>Total</v>
      </c>
      <c r="J213" s="230"/>
    </row>
    <row r="214" spans="1:10" hidden="1" x14ac:dyDescent="0.3"/>
    <row r="215" spans="1:10" hidden="1" x14ac:dyDescent="0.3"/>
    <row r="216" spans="1:10" hidden="1" x14ac:dyDescent="0.3">
      <c r="A216" s="113"/>
      <c r="B216" s="126" t="s">
        <v>146</v>
      </c>
      <c r="C216" s="7"/>
      <c r="D216" s="7"/>
      <c r="E216" s="7"/>
      <c r="F216" s="7"/>
      <c r="G216" s="7"/>
      <c r="H216" s="7"/>
      <c r="I216" s="7"/>
    </row>
    <row r="217" spans="1:10" hidden="1" x14ac:dyDescent="0.3">
      <c r="A217" s="113"/>
      <c r="B217" s="126" t="s">
        <v>147</v>
      </c>
      <c r="C217" s="7"/>
      <c r="D217" s="7"/>
      <c r="E217" s="7"/>
      <c r="F217" s="7"/>
      <c r="G217" s="7"/>
      <c r="H217" s="7"/>
      <c r="I217" s="7"/>
    </row>
    <row r="218" spans="1:10" hidden="1" x14ac:dyDescent="0.3"/>
    <row r="219" spans="1:10" ht="15" thickBot="1" x14ac:dyDescent="0.35"/>
    <row r="220" spans="1:10" ht="15" thickBot="1" x14ac:dyDescent="0.35">
      <c r="A220" s="116"/>
      <c r="B220" s="122" t="s">
        <v>49</v>
      </c>
      <c r="C220" s="269">
        <f>C74-((C125*1.4725)+C179)</f>
        <v>0</v>
      </c>
      <c r="D220" s="269">
        <f>D74-((D125*1.4725)+D179)</f>
        <v>0</v>
      </c>
      <c r="E220" s="269">
        <f>E74-((E125*1.4775)+E179)</f>
        <v>0</v>
      </c>
      <c r="F220" s="269">
        <f>F74-((F125*1.4825)+F179)</f>
        <v>-60375.049999999988</v>
      </c>
      <c r="G220" s="269">
        <f>G74-((G125*1.4875)+G179)</f>
        <v>0</v>
      </c>
      <c r="H220" s="269"/>
      <c r="I220" s="269">
        <f>I74-((I125*1.4925)+I179)</f>
        <v>-60589.649999999965</v>
      </c>
    </row>
    <row r="221" spans="1:10" ht="15" thickBot="1" x14ac:dyDescent="0.35">
      <c r="A221" s="116"/>
      <c r="B221" s="122" t="s">
        <v>16</v>
      </c>
      <c r="C221" s="269">
        <f>(C75+C76)-(((C109+C118+C119+C120+C121+C122)*1.4725)+C146+C151)</f>
        <v>0</v>
      </c>
      <c r="D221" s="269">
        <f>(D75+D76)-(((D109+D118+D119+D120+D121+D122)*1.4725)+D146+D151)</f>
        <v>0</v>
      </c>
      <c r="E221" s="269">
        <f>(E75+E76)-(((E109+E118+E119+E120+E121+E122)*1.4775)+E146+E151)</f>
        <v>-171411</v>
      </c>
      <c r="F221" s="269">
        <f>(F75+F76)-(((F109+F118+F119+F120+F121+F122)*1.4825)+F146+F151)</f>
        <v>0</v>
      </c>
      <c r="G221" s="269">
        <f>(G75+G76)-(((G109+G118+G119+G120+G121+G122)*1.4875)+G146+G151)</f>
        <v>0</v>
      </c>
      <c r="H221" s="269"/>
      <c r="I221" s="269">
        <f>(I75+I76)-(((I109+I118+I119+I120+I121+I122)*1.4925)+I146+I151)</f>
        <v>-173361</v>
      </c>
    </row>
    <row r="225" spans="2:9" x14ac:dyDescent="0.3">
      <c r="B225" s="246" t="s">
        <v>195</v>
      </c>
      <c r="C225" s="247"/>
      <c r="D225" s="247"/>
      <c r="E225" s="247"/>
      <c r="F225" s="247"/>
      <c r="G225" s="247"/>
      <c r="H225" s="247"/>
      <c r="I225" s="247">
        <f>I85-I203</f>
        <v>465280.66861806717</v>
      </c>
    </row>
    <row r="226" spans="2:9" x14ac:dyDescent="0.3">
      <c r="C226" s="248"/>
      <c r="D226" s="248"/>
      <c r="E226" s="248"/>
      <c r="F226" s="248"/>
      <c r="G226" s="248"/>
      <c r="H226" s="248"/>
      <c r="I226" s="248"/>
    </row>
    <row r="227" spans="2:9" x14ac:dyDescent="0.3">
      <c r="B227" s="62" t="str">
        <f>B206</f>
        <v>Scheduled Lease Payment</v>
      </c>
      <c r="C227" s="249"/>
      <c r="D227" s="249"/>
      <c r="E227" s="249"/>
      <c r="F227" s="249"/>
      <c r="G227" s="249"/>
      <c r="H227" s="249"/>
      <c r="I227" s="249">
        <f t="shared" ref="I227:I229" si="77">I206</f>
        <v>405000</v>
      </c>
    </row>
    <row r="228" spans="2:9" x14ac:dyDescent="0.3">
      <c r="B228" s="62" t="str">
        <f t="shared" ref="B228:B229" si="78">B207</f>
        <v>Scheduled Bond Payment</v>
      </c>
      <c r="C228" s="249"/>
      <c r="D228" s="249"/>
      <c r="E228" s="249"/>
      <c r="F228" s="249"/>
      <c r="G228" s="249"/>
      <c r="H228" s="249"/>
      <c r="I228" s="249">
        <f t="shared" si="77"/>
        <v>0</v>
      </c>
    </row>
    <row r="229" spans="2:9" x14ac:dyDescent="0.3">
      <c r="B229" s="62" t="str">
        <f t="shared" si="78"/>
        <v>Improvements / Loan</v>
      </c>
      <c r="C229" s="249"/>
      <c r="D229" s="249"/>
      <c r="E229" s="249"/>
      <c r="F229" s="249"/>
      <c r="G229" s="249"/>
      <c r="H229" s="249"/>
      <c r="I229" s="249">
        <f t="shared" si="77"/>
        <v>0</v>
      </c>
    </row>
    <row r="230" spans="2:9" x14ac:dyDescent="0.3">
      <c r="B230" s="251" t="s">
        <v>196</v>
      </c>
      <c r="C230" s="252"/>
      <c r="D230" s="252"/>
      <c r="E230" s="252"/>
      <c r="F230" s="252"/>
      <c r="G230" s="252"/>
      <c r="H230" s="252"/>
      <c r="I230" s="252">
        <f t="shared" ref="I230" si="79">SUM(I227:I229)</f>
        <v>405000</v>
      </c>
    </row>
    <row r="231" spans="2:9" x14ac:dyDescent="0.3">
      <c r="C231" s="248"/>
      <c r="D231" s="248"/>
      <c r="E231" s="248"/>
      <c r="F231" s="248"/>
      <c r="G231" s="248"/>
      <c r="H231" s="248"/>
      <c r="I231" s="248"/>
    </row>
    <row r="232" spans="2:9" x14ac:dyDescent="0.3">
      <c r="B232" s="246" t="s">
        <v>197</v>
      </c>
      <c r="C232" s="253"/>
      <c r="D232" s="253"/>
      <c r="E232" s="253"/>
      <c r="F232" s="253"/>
      <c r="G232" s="253"/>
      <c r="H232" s="253"/>
      <c r="I232" s="253">
        <f t="shared" ref="I232" si="80">I225/I230</f>
        <v>1.1488411570816472</v>
      </c>
    </row>
    <row r="233" spans="2:9" x14ac:dyDescent="0.3">
      <c r="C233" s="248"/>
      <c r="D233" s="248"/>
      <c r="E233" s="248"/>
      <c r="F233" s="248"/>
      <c r="G233" s="248"/>
      <c r="H233" s="248"/>
      <c r="I233" s="248"/>
    </row>
    <row r="234" spans="2:9" x14ac:dyDescent="0.3">
      <c r="B234" s="254" t="s">
        <v>198</v>
      </c>
      <c r="C234" s="254"/>
      <c r="D234" s="254"/>
      <c r="E234" s="254"/>
      <c r="F234" s="254"/>
      <c r="G234" s="254"/>
      <c r="H234" s="254"/>
      <c r="I234" s="254"/>
    </row>
    <row r="235" spans="2:9" x14ac:dyDescent="0.3">
      <c r="B235" s="62" t="s">
        <v>199</v>
      </c>
      <c r="C235" s="255"/>
      <c r="D235" s="255"/>
      <c r="E235" s="255"/>
      <c r="F235" s="255"/>
      <c r="G235" s="255"/>
      <c r="H235" s="255"/>
      <c r="I235" s="255">
        <f t="shared" ref="I235" si="81">G238</f>
        <v>0</v>
      </c>
    </row>
    <row r="236" spans="2:9" x14ac:dyDescent="0.3">
      <c r="B236" s="248" t="s">
        <v>200</v>
      </c>
      <c r="C236" s="256"/>
      <c r="D236" s="256"/>
      <c r="E236" s="256"/>
      <c r="F236" s="256"/>
      <c r="G236" s="256"/>
      <c r="H236" s="256"/>
      <c r="I236" s="256">
        <v>0</v>
      </c>
    </row>
    <row r="237" spans="2:9" x14ac:dyDescent="0.3">
      <c r="B237" s="248" t="s">
        <v>201</v>
      </c>
      <c r="C237" s="256"/>
      <c r="D237" s="256"/>
      <c r="E237" s="256"/>
      <c r="F237" s="256"/>
      <c r="G237" s="256"/>
      <c r="H237" s="256"/>
      <c r="I237" s="256">
        <f t="shared" ref="I237" si="82">I211</f>
        <v>60280.668618067168</v>
      </c>
    </row>
    <row r="238" spans="2:9" x14ac:dyDescent="0.3">
      <c r="B238" s="257" t="s">
        <v>202</v>
      </c>
      <c r="C238" s="258"/>
      <c r="D238" s="258"/>
      <c r="E238" s="258"/>
      <c r="F238" s="258"/>
      <c r="G238" s="258"/>
      <c r="H238" s="258"/>
      <c r="I238" s="258">
        <f t="shared" ref="I238" si="83">I235+I236+I237</f>
        <v>60280.668618067168</v>
      </c>
    </row>
    <row r="239" spans="2:9" x14ac:dyDescent="0.3">
      <c r="B239" s="246" t="s">
        <v>203</v>
      </c>
      <c r="C239" s="253"/>
      <c r="D239" s="253"/>
      <c r="E239" s="253"/>
      <c r="F239" s="253"/>
      <c r="G239" s="253"/>
      <c r="H239" s="253"/>
      <c r="I239" s="253">
        <f t="shared" ref="I239" si="84">I238/((SUM(I203:I209))/365)</f>
        <v>5.3358728162426701</v>
      </c>
    </row>
    <row r="241" spans="2:11" x14ac:dyDescent="0.3">
      <c r="D241" s="261"/>
      <c r="E241" s="261"/>
      <c r="F241" s="261"/>
      <c r="G241" s="261"/>
      <c r="H241" s="261"/>
      <c r="I241" s="261"/>
    </row>
    <row r="242" spans="2:11" x14ac:dyDescent="0.3">
      <c r="B242" s="377" t="s">
        <v>308</v>
      </c>
      <c r="C242" s="261"/>
      <c r="D242" s="435"/>
      <c r="E242" s="435"/>
      <c r="F242" s="435"/>
      <c r="G242" s="435"/>
      <c r="H242" s="435"/>
      <c r="I242" s="261">
        <f>I128/SUM(I203:I208)</f>
        <v>0.38218968609197046</v>
      </c>
      <c r="J242" s="219"/>
      <c r="K242" s="223"/>
    </row>
    <row r="243" spans="2:11" x14ac:dyDescent="0.3">
      <c r="B243" s="377" t="s">
        <v>231</v>
      </c>
      <c r="C243" s="261"/>
      <c r="D243" s="435"/>
      <c r="E243" s="435"/>
      <c r="F243" s="435"/>
      <c r="G243" s="435"/>
      <c r="H243" s="435"/>
      <c r="I243" s="261">
        <f>SUM(I129:I132)/SUM(I203:I208)</f>
        <v>0.19610879014245852</v>
      </c>
      <c r="J243" s="219"/>
      <c r="K243" s="223"/>
    </row>
    <row r="244" spans="2:11" x14ac:dyDescent="0.3">
      <c r="B244" s="377" t="s">
        <v>93</v>
      </c>
      <c r="C244" s="261"/>
      <c r="D244" s="435"/>
      <c r="E244" s="435"/>
      <c r="F244" s="435"/>
      <c r="G244" s="435"/>
      <c r="H244" s="435"/>
      <c r="I244" s="261">
        <f t="shared" ref="I244" si="85">I154/SUM(I203:I208)</f>
        <v>2.226266879788543E-3</v>
      </c>
      <c r="J244" s="219"/>
      <c r="K244" s="223"/>
    </row>
    <row r="245" spans="2:11" x14ac:dyDescent="0.3">
      <c r="B245" s="377" t="s">
        <v>309</v>
      </c>
      <c r="C245" s="261"/>
      <c r="D245" s="435"/>
      <c r="E245" s="435"/>
      <c r="F245" s="435"/>
      <c r="G245" s="435"/>
      <c r="H245" s="435"/>
      <c r="I245" s="261">
        <f t="shared" ref="I245" si="86">(I152+I153+I160+I162)/SUM(I203:I208)</f>
        <v>5.9376594012879466E-2</v>
      </c>
      <c r="J245" s="219"/>
      <c r="K245" s="223"/>
    </row>
    <row r="246" spans="2:11" x14ac:dyDescent="0.3">
      <c r="B246" s="377" t="s">
        <v>310</v>
      </c>
      <c r="C246" s="261"/>
      <c r="D246" s="435"/>
      <c r="E246" s="435"/>
      <c r="F246" s="435"/>
      <c r="G246" s="435"/>
      <c r="H246" s="435"/>
      <c r="I246" s="261">
        <f>(I151+I150+I134)/SUM(I203:I208)</f>
        <v>3.7131124396996062E-2</v>
      </c>
      <c r="J246" s="219"/>
      <c r="K246" s="223"/>
    </row>
    <row r="247" spans="2:11" x14ac:dyDescent="0.3">
      <c r="B247" s="377" t="s">
        <v>311</v>
      </c>
      <c r="C247" s="261"/>
      <c r="D247" s="435"/>
      <c r="E247" s="435"/>
      <c r="F247" s="435"/>
      <c r="G247" s="435"/>
      <c r="H247" s="435"/>
      <c r="I247" s="261">
        <f t="shared" ref="I247" si="87">(I170+I140)/SUM(I203:I208)</f>
        <v>1.1155585672143026E-2</v>
      </c>
      <c r="J247" s="219"/>
      <c r="K247" s="223"/>
    </row>
    <row r="248" spans="2:11" x14ac:dyDescent="0.3">
      <c r="B248" s="377" t="s">
        <v>79</v>
      </c>
      <c r="C248" s="261"/>
      <c r="D248" s="435"/>
      <c r="E248" s="435"/>
      <c r="F248" s="435"/>
      <c r="G248" s="435"/>
      <c r="H248" s="435"/>
      <c r="I248" s="261">
        <f>(I138+I142+I143+I144+I145+I146)/SUM(I203:I208)</f>
        <v>2.8177796844173267E-2</v>
      </c>
      <c r="J248" s="219"/>
      <c r="K248" s="223"/>
    </row>
    <row r="249" spans="2:11" x14ac:dyDescent="0.3">
      <c r="B249" s="377" t="s">
        <v>312</v>
      </c>
      <c r="C249" s="261"/>
      <c r="D249" s="435"/>
      <c r="E249" s="435"/>
      <c r="F249" s="435"/>
      <c r="G249" s="435"/>
      <c r="H249" s="435"/>
      <c r="I249" s="261">
        <f>(I177+I201+I206+I207+I208)/SUM(I203:I208)</f>
        <v>0.14977456584200408</v>
      </c>
      <c r="J249" s="219"/>
      <c r="K249" s="223"/>
    </row>
    <row r="250" spans="2:11" x14ac:dyDescent="0.3">
      <c r="B250" s="377" t="s">
        <v>49</v>
      </c>
      <c r="C250" s="261"/>
      <c r="D250" s="435"/>
      <c r="E250" s="435"/>
      <c r="F250" s="435"/>
      <c r="G250" s="435"/>
      <c r="H250" s="435"/>
      <c r="I250" s="261">
        <f t="shared" ref="I250" si="88">(I179)/SUM(I203:I208)</f>
        <v>9.7137262240185401E-2</v>
      </c>
      <c r="J250" s="261"/>
      <c r="K250" s="223"/>
    </row>
    <row r="251" spans="2:11" x14ac:dyDescent="0.3">
      <c r="B251" s="377" t="s">
        <v>171</v>
      </c>
      <c r="C251" s="261"/>
      <c r="D251" s="435"/>
      <c r="E251" s="435"/>
      <c r="F251" s="435"/>
      <c r="G251" s="435"/>
      <c r="H251" s="435"/>
      <c r="I251" s="261">
        <f t="shared" ref="I251" si="89">(I147)/SUM(I203:I208)</f>
        <v>0</v>
      </c>
      <c r="J251" s="219"/>
      <c r="K251" s="223"/>
    </row>
    <row r="252" spans="2:11" x14ac:dyDescent="0.3">
      <c r="B252" s="377" t="s">
        <v>313</v>
      </c>
      <c r="C252" s="261"/>
      <c r="D252" s="435"/>
      <c r="E252" s="435"/>
      <c r="F252" s="435"/>
      <c r="G252" s="435"/>
      <c r="H252" s="435"/>
      <c r="I252" s="261">
        <f t="shared" ref="I252" si="90">I181/SUM(I203:I208)</f>
        <v>1.2125636600155464E-3</v>
      </c>
      <c r="J252" s="219"/>
      <c r="K252" s="223"/>
    </row>
    <row r="253" spans="2:11" x14ac:dyDescent="0.3">
      <c r="B253" s="377" t="s">
        <v>314</v>
      </c>
      <c r="C253" s="261"/>
      <c r="D253" s="435"/>
      <c r="E253" s="435"/>
      <c r="F253" s="435"/>
      <c r="G253" s="435"/>
      <c r="H253" s="435"/>
      <c r="I253" s="261">
        <f t="shared" ref="I253" si="91">(I155+I156)/SUM(I203:I208)</f>
        <v>6.3053310320808405E-3</v>
      </c>
      <c r="J253" s="219"/>
      <c r="K253" s="223"/>
    </row>
    <row r="254" spans="2:11" x14ac:dyDescent="0.3">
      <c r="B254" s="377" t="s">
        <v>315</v>
      </c>
      <c r="C254" s="261"/>
      <c r="D254" s="435"/>
      <c r="E254" s="435"/>
      <c r="F254" s="435"/>
      <c r="G254" s="435"/>
      <c r="H254" s="435"/>
      <c r="I254" s="261">
        <f t="shared" ref="I254" si="92">(I157+I158+I165+I166+I167+I169+I171)/SUM(I203:I208)</f>
        <v>1.2897918395219365E-2</v>
      </c>
      <c r="J254" s="219"/>
      <c r="K254" s="223"/>
    </row>
    <row r="255" spans="2:11" x14ac:dyDescent="0.3">
      <c r="B255" s="377" t="s">
        <v>116</v>
      </c>
      <c r="C255" s="261"/>
      <c r="D255" s="435"/>
      <c r="E255" s="435"/>
      <c r="F255" s="435"/>
      <c r="G255" s="435"/>
      <c r="H255" s="435"/>
      <c r="I255" s="261">
        <f>(I159+I168+I180+I182+I183+I185+I187+I133+I186)/SUM(I203:I208)</f>
        <v>1.630651479008538E-2</v>
      </c>
      <c r="J255" s="261"/>
      <c r="K255" s="223"/>
    </row>
    <row r="256" spans="2:11" x14ac:dyDescent="0.3">
      <c r="B256"/>
      <c r="C256"/>
      <c r="D256"/>
      <c r="E256"/>
      <c r="F256"/>
      <c r="G256"/>
      <c r="H256"/>
      <c r="I256"/>
      <c r="J256" s="219"/>
    </row>
    <row r="257" spans="2:11" x14ac:dyDescent="0.3">
      <c r="B257"/>
      <c r="C257" s="378"/>
      <c r="D257" s="378"/>
      <c r="E257" s="378"/>
      <c r="F257" s="378"/>
      <c r="G257" s="378"/>
      <c r="H257" s="378"/>
      <c r="I257" s="378">
        <f>SUM(I242:I256)</f>
        <v>1</v>
      </c>
      <c r="J257" s="219"/>
      <c r="K257" s="378"/>
    </row>
    <row r="259" spans="2:11" x14ac:dyDescent="0.3">
      <c r="D259" s="379"/>
      <c r="E259" s="379"/>
      <c r="F259" s="379"/>
      <c r="G259" s="379"/>
      <c r="H259" s="379"/>
      <c r="I259" s="379"/>
    </row>
  </sheetData>
  <pageMargins left="0.7" right="0.7" top="0.75" bottom="0.75" header="0.3" footer="0.3"/>
  <pageSetup scale="51" orientation="portrait" r:id="rId1"/>
  <rowBreaks count="2" manualBreakCount="2">
    <brk id="70" max="8" man="1"/>
    <brk id="148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259"/>
  <sheetViews>
    <sheetView topLeftCell="A168" zoomScale="75" zoomScaleNormal="75" workbookViewId="0">
      <selection activeCell="B205" sqref="B205"/>
    </sheetView>
  </sheetViews>
  <sheetFormatPr defaultColWidth="8.77734375" defaultRowHeight="14.4" x14ac:dyDescent="0.3"/>
  <cols>
    <col min="1" max="1" width="8.77734375" style="5"/>
    <col min="2" max="2" width="56.5546875" style="219" customWidth="1"/>
    <col min="3" max="9" width="15.77734375" style="125" customWidth="1"/>
    <col min="10" max="10" width="15.109375" style="240" customWidth="1"/>
    <col min="11" max="11" width="12.21875" style="219" bestFit="1" customWidth="1"/>
    <col min="12" max="12" width="14.44140625" style="219" customWidth="1"/>
    <col min="13" max="13" width="13.33203125" style="219" bestFit="1" customWidth="1"/>
    <col min="14" max="15" width="11.109375" style="219" bestFit="1" customWidth="1"/>
    <col min="16" max="16384" width="8.77734375" style="219"/>
  </cols>
  <sheetData>
    <row r="1" spans="1:16" s="2" customFormat="1" ht="15" thickBot="1" x14ac:dyDescent="0.35">
      <c r="A1" s="1"/>
      <c r="B1" s="3" t="s">
        <v>389</v>
      </c>
      <c r="C1" s="3" t="s">
        <v>386</v>
      </c>
      <c r="D1" s="3" t="s">
        <v>376</v>
      </c>
      <c r="E1" s="3" t="s">
        <v>16</v>
      </c>
      <c r="F1" s="3" t="s">
        <v>49</v>
      </c>
      <c r="G1" s="3" t="s">
        <v>393</v>
      </c>
      <c r="H1" s="3" t="s">
        <v>394</v>
      </c>
      <c r="I1" s="3" t="s">
        <v>158</v>
      </c>
      <c r="J1" s="224"/>
      <c r="K1" s="3">
        <v>7197</v>
      </c>
      <c r="L1" s="241" t="s">
        <v>148</v>
      </c>
    </row>
    <row r="2" spans="1:16" x14ac:dyDescent="0.3">
      <c r="B2" s="6" t="s">
        <v>329</v>
      </c>
      <c r="C2" s="140">
        <f>'24-25'!I2*1.013</f>
        <v>7581.3276853764582</v>
      </c>
      <c r="D2" s="140"/>
      <c r="E2" s="140"/>
      <c r="F2" s="140"/>
      <c r="G2" s="140"/>
      <c r="H2" s="140"/>
      <c r="I2" s="140">
        <f>SUM(C2:H2)</f>
        <v>7581.3276853764582</v>
      </c>
      <c r="J2" s="168"/>
      <c r="K2" s="169">
        <f>(I2-K1)/K1</f>
        <v>5.340109564769463E-2</v>
      </c>
      <c r="L2" s="169"/>
      <c r="M2" s="169"/>
      <c r="N2" s="169"/>
    </row>
    <row r="3" spans="1:16" hidden="1" x14ac:dyDescent="0.3">
      <c r="B3" s="9"/>
      <c r="C3" s="157"/>
      <c r="D3" s="157"/>
      <c r="E3" s="157"/>
      <c r="F3" s="157"/>
      <c r="G3" s="157"/>
      <c r="H3" s="157"/>
      <c r="I3" s="157"/>
      <c r="J3" s="168"/>
      <c r="K3" s="169"/>
      <c r="L3" s="169"/>
      <c r="M3" s="169"/>
      <c r="N3" s="169"/>
    </row>
    <row r="4" spans="1:16" hidden="1" x14ac:dyDescent="0.3">
      <c r="B4" s="9"/>
      <c r="C4" s="157"/>
      <c r="D4" s="157"/>
      <c r="E4" s="157"/>
      <c r="F4" s="157"/>
      <c r="G4" s="157"/>
      <c r="H4" s="157"/>
      <c r="I4" s="157"/>
      <c r="J4" s="168"/>
      <c r="K4" s="169"/>
      <c r="L4" s="169"/>
      <c r="M4" s="169"/>
      <c r="N4" s="169"/>
    </row>
    <row r="5" spans="1:16" x14ac:dyDescent="0.3">
      <c r="B5" s="9" t="s">
        <v>1</v>
      </c>
      <c r="C5" s="141">
        <f t="shared" ref="C5" si="0">C6+C7+C8+C9+C10+C11+C12+C13+C14+C15+C16+C17+C18</f>
        <v>540</v>
      </c>
      <c r="D5" s="141"/>
      <c r="E5" s="141"/>
      <c r="F5" s="141"/>
      <c r="G5" s="141"/>
      <c r="H5" s="141"/>
      <c r="I5" s="141">
        <f t="shared" ref="I5:I18" si="1">SUM(C5:H5)</f>
        <v>540</v>
      </c>
      <c r="J5" s="225"/>
    </row>
    <row r="6" spans="1:16" x14ac:dyDescent="0.3">
      <c r="B6" s="12" t="s">
        <v>2</v>
      </c>
      <c r="C6" s="142">
        <v>0</v>
      </c>
      <c r="D6" s="142"/>
      <c r="E6" s="142"/>
      <c r="F6" s="142"/>
      <c r="G6" s="142"/>
      <c r="H6" s="142"/>
      <c r="I6" s="142">
        <f t="shared" si="1"/>
        <v>0</v>
      </c>
      <c r="J6" s="225"/>
      <c r="K6" s="166">
        <f t="shared" ref="K6:K11" si="2">I6/28</f>
        <v>0</v>
      </c>
      <c r="L6" s="166"/>
      <c r="M6" s="166"/>
      <c r="N6" s="166"/>
      <c r="P6" s="166"/>
    </row>
    <row r="7" spans="1:16" x14ac:dyDescent="0.3">
      <c r="B7" s="15" t="s">
        <v>3</v>
      </c>
      <c r="C7" s="142">
        <v>0</v>
      </c>
      <c r="D7" s="142"/>
      <c r="E7" s="142"/>
      <c r="F7" s="142"/>
      <c r="G7" s="142"/>
      <c r="H7" s="142"/>
      <c r="I7" s="142">
        <f t="shared" si="1"/>
        <v>0</v>
      </c>
      <c r="J7" s="225"/>
      <c r="K7" s="166">
        <f t="shared" si="2"/>
        <v>0</v>
      </c>
      <c r="L7" s="166"/>
      <c r="M7" s="166"/>
      <c r="N7" s="166"/>
      <c r="P7" s="166"/>
    </row>
    <row r="8" spans="1:16" x14ac:dyDescent="0.3">
      <c r="B8" s="15" t="s">
        <v>4</v>
      </c>
      <c r="C8" s="142">
        <v>0</v>
      </c>
      <c r="D8" s="142"/>
      <c r="E8" s="142"/>
      <c r="F8" s="142"/>
      <c r="G8" s="142"/>
      <c r="H8" s="142"/>
      <c r="I8" s="142">
        <f t="shared" si="1"/>
        <v>0</v>
      </c>
      <c r="J8" s="225"/>
      <c r="K8" s="166">
        <f t="shared" si="2"/>
        <v>0</v>
      </c>
      <c r="L8" s="166"/>
      <c r="M8" s="166"/>
      <c r="N8" s="166"/>
      <c r="P8" s="166"/>
    </row>
    <row r="9" spans="1:16" x14ac:dyDescent="0.3">
      <c r="B9" s="16" t="s">
        <v>5</v>
      </c>
      <c r="C9" s="142">
        <v>0</v>
      </c>
      <c r="D9" s="142"/>
      <c r="E9" s="142"/>
      <c r="F9" s="142"/>
      <c r="G9" s="142"/>
      <c r="H9" s="142"/>
      <c r="I9" s="142">
        <f t="shared" si="1"/>
        <v>0</v>
      </c>
      <c r="J9" s="225"/>
      <c r="K9" s="166">
        <f t="shared" si="2"/>
        <v>0</v>
      </c>
      <c r="L9" s="166"/>
      <c r="M9" s="166"/>
      <c r="N9" s="166"/>
      <c r="P9" s="166"/>
    </row>
    <row r="10" spans="1:16" x14ac:dyDescent="0.3">
      <c r="B10" s="16" t="s">
        <v>6</v>
      </c>
      <c r="C10" s="142">
        <v>0</v>
      </c>
      <c r="D10" s="142"/>
      <c r="E10" s="142"/>
      <c r="F10" s="142"/>
      <c r="G10" s="142"/>
      <c r="H10" s="142"/>
      <c r="I10" s="142">
        <f t="shared" si="1"/>
        <v>0</v>
      </c>
      <c r="J10" s="225"/>
      <c r="K10" s="166">
        <f t="shared" si="2"/>
        <v>0</v>
      </c>
      <c r="L10" s="166"/>
      <c r="M10" s="166"/>
      <c r="N10" s="166"/>
      <c r="P10" s="166"/>
    </row>
    <row r="11" spans="1:16" x14ac:dyDescent="0.3">
      <c r="B11" s="16" t="s">
        <v>7</v>
      </c>
      <c r="C11" s="142">
        <v>0</v>
      </c>
      <c r="D11" s="142"/>
      <c r="E11" s="142"/>
      <c r="F11" s="142"/>
      <c r="G11" s="142"/>
      <c r="H11" s="142"/>
      <c r="I11" s="142">
        <f t="shared" si="1"/>
        <v>0</v>
      </c>
      <c r="J11" s="225"/>
      <c r="K11" s="166">
        <f t="shared" si="2"/>
        <v>0</v>
      </c>
      <c r="L11" s="166"/>
      <c r="M11" s="166"/>
      <c r="N11" s="166"/>
      <c r="P11" s="166"/>
    </row>
    <row r="12" spans="1:16" x14ac:dyDescent="0.3">
      <c r="B12" s="16" t="s">
        <v>8</v>
      </c>
      <c r="C12" s="143">
        <f>30*3</f>
        <v>90</v>
      </c>
      <c r="D12" s="143"/>
      <c r="E12" s="143"/>
      <c r="F12" s="143"/>
      <c r="G12" s="143"/>
      <c r="H12" s="143"/>
      <c r="I12" s="142">
        <f t="shared" si="1"/>
        <v>90</v>
      </c>
      <c r="J12" s="225"/>
      <c r="K12" s="166">
        <f>I12/30</f>
        <v>3</v>
      </c>
      <c r="L12" s="166"/>
      <c r="M12" s="166"/>
      <c r="N12" s="166"/>
      <c r="P12" s="166"/>
    </row>
    <row r="13" spans="1:16" x14ac:dyDescent="0.3">
      <c r="B13" s="16" t="s">
        <v>9</v>
      </c>
      <c r="C13" s="143">
        <f t="shared" ref="C13:C14" si="3">30*3</f>
        <v>90</v>
      </c>
      <c r="D13" s="143"/>
      <c r="E13" s="143"/>
      <c r="F13" s="143"/>
      <c r="G13" s="143"/>
      <c r="H13" s="143"/>
      <c r="I13" s="142">
        <f t="shared" si="1"/>
        <v>90</v>
      </c>
      <c r="J13" s="225"/>
      <c r="K13" s="166">
        <f t="shared" ref="K13:K18" si="4">I13/30</f>
        <v>3</v>
      </c>
      <c r="L13" s="166"/>
      <c r="M13" s="166"/>
      <c r="N13" s="166"/>
      <c r="P13" s="166"/>
    </row>
    <row r="14" spans="1:16" x14ac:dyDescent="0.3">
      <c r="B14" s="16" t="s">
        <v>10</v>
      </c>
      <c r="C14" s="143">
        <f t="shared" si="3"/>
        <v>90</v>
      </c>
      <c r="D14" s="143"/>
      <c r="E14" s="143"/>
      <c r="F14" s="143"/>
      <c r="G14" s="143"/>
      <c r="H14" s="143"/>
      <c r="I14" s="142">
        <f t="shared" si="1"/>
        <v>90</v>
      </c>
      <c r="J14" s="225"/>
      <c r="K14" s="166">
        <f t="shared" si="4"/>
        <v>3</v>
      </c>
      <c r="L14" s="166"/>
      <c r="M14" s="166"/>
      <c r="N14" s="166"/>
      <c r="P14" s="166"/>
    </row>
    <row r="15" spans="1:16" x14ac:dyDescent="0.3">
      <c r="B15" s="16" t="s">
        <v>11</v>
      </c>
      <c r="C15" s="143">
        <f>30*3</f>
        <v>90</v>
      </c>
      <c r="D15" s="143"/>
      <c r="E15" s="143"/>
      <c r="F15" s="143"/>
      <c r="G15" s="143"/>
      <c r="H15" s="143"/>
      <c r="I15" s="142">
        <f t="shared" si="1"/>
        <v>90</v>
      </c>
      <c r="J15" s="225"/>
      <c r="K15" s="166">
        <f t="shared" si="4"/>
        <v>3</v>
      </c>
      <c r="L15" s="166"/>
      <c r="M15" s="166"/>
      <c r="N15" s="166"/>
    </row>
    <row r="16" spans="1:16" x14ac:dyDescent="0.3">
      <c r="B16" s="16" t="s">
        <v>12</v>
      </c>
      <c r="C16" s="143">
        <f t="shared" ref="C16:C18" si="5">30*2</f>
        <v>60</v>
      </c>
      <c r="D16" s="143"/>
      <c r="E16" s="143"/>
      <c r="F16" s="143"/>
      <c r="G16" s="143"/>
      <c r="H16" s="143"/>
      <c r="I16" s="142">
        <f t="shared" si="1"/>
        <v>60</v>
      </c>
      <c r="J16" s="225"/>
      <c r="K16" s="166">
        <f t="shared" si="4"/>
        <v>2</v>
      </c>
      <c r="L16" s="166"/>
      <c r="M16" s="166"/>
      <c r="N16" s="166"/>
    </row>
    <row r="17" spans="1:14" x14ac:dyDescent="0.3">
      <c r="B17" s="16" t="s">
        <v>13</v>
      </c>
      <c r="C17" s="143">
        <f t="shared" si="5"/>
        <v>60</v>
      </c>
      <c r="D17" s="143"/>
      <c r="E17" s="143"/>
      <c r="F17" s="143"/>
      <c r="G17" s="143"/>
      <c r="H17" s="143"/>
      <c r="I17" s="142">
        <f t="shared" si="1"/>
        <v>60</v>
      </c>
      <c r="J17" s="225"/>
      <c r="K17" s="166">
        <f t="shared" si="4"/>
        <v>2</v>
      </c>
      <c r="L17" s="166"/>
      <c r="M17" s="166"/>
      <c r="N17" s="166"/>
    </row>
    <row r="18" spans="1:14" x14ac:dyDescent="0.3">
      <c r="B18" s="16" t="s">
        <v>14</v>
      </c>
      <c r="C18" s="143">
        <f t="shared" si="5"/>
        <v>60</v>
      </c>
      <c r="D18" s="143"/>
      <c r="E18" s="143"/>
      <c r="F18" s="143"/>
      <c r="G18" s="143"/>
      <c r="H18" s="143"/>
      <c r="I18" s="142">
        <f t="shared" si="1"/>
        <v>60</v>
      </c>
      <c r="J18" s="225"/>
      <c r="K18" s="166">
        <f t="shared" si="4"/>
        <v>2</v>
      </c>
      <c r="L18" s="166"/>
      <c r="M18" s="166"/>
      <c r="N18" s="166"/>
    </row>
    <row r="19" spans="1:14" x14ac:dyDescent="0.3">
      <c r="B19" s="16" t="s">
        <v>1</v>
      </c>
      <c r="C19" s="141">
        <f t="shared" ref="C19" si="6">SUM(C6:C18)</f>
        <v>540</v>
      </c>
      <c r="D19" s="141">
        <f t="shared" ref="D19:H19" si="7">SUM(D6:D18)</f>
        <v>0</v>
      </c>
      <c r="E19" s="141">
        <f t="shared" si="7"/>
        <v>0</v>
      </c>
      <c r="F19" s="141">
        <f t="shared" si="7"/>
        <v>0</v>
      </c>
      <c r="G19" s="141">
        <f t="shared" si="7"/>
        <v>0</v>
      </c>
      <c r="H19" s="141">
        <f t="shared" si="7"/>
        <v>0</v>
      </c>
      <c r="I19" s="141">
        <f>SUM(I6:I18)</f>
        <v>540</v>
      </c>
      <c r="J19" s="438">
        <f>C19*0.12</f>
        <v>64.8</v>
      </c>
      <c r="K19" s="220">
        <f>SUM(K6:K18)</f>
        <v>18</v>
      </c>
      <c r="L19" s="220">
        <f>C19-'24-25'!C19</f>
        <v>90</v>
      </c>
      <c r="M19" s="220"/>
      <c r="N19" s="220"/>
    </row>
    <row r="20" spans="1:14" x14ac:dyDescent="0.3">
      <c r="B20" s="17"/>
      <c r="C20" s="366"/>
      <c r="D20" s="143"/>
      <c r="E20" s="366"/>
      <c r="F20" s="366"/>
      <c r="G20" s="366"/>
      <c r="H20" s="366"/>
      <c r="I20" s="366"/>
      <c r="J20" s="438">
        <f>J19/23</f>
        <v>2.8173913043478258</v>
      </c>
      <c r="K20" s="219" t="b">
        <f>ROUND(K19,0)=ROUND(I29,0)</f>
        <v>1</v>
      </c>
    </row>
    <row r="21" spans="1:14" x14ac:dyDescent="0.3">
      <c r="B21" s="19" t="s">
        <v>15</v>
      </c>
      <c r="C21" s="144"/>
      <c r="D21" s="144"/>
      <c r="E21" s="144"/>
      <c r="F21" s="144"/>
      <c r="G21" s="144"/>
      <c r="H21" s="144"/>
      <c r="I21" s="144"/>
      <c r="J21" s="440"/>
    </row>
    <row r="22" spans="1:14" x14ac:dyDescent="0.3">
      <c r="B22" s="411" t="s">
        <v>336</v>
      </c>
      <c r="C22" s="143"/>
      <c r="D22" s="143"/>
      <c r="E22" s="143">
        <f>C19*0.12</f>
        <v>64.8</v>
      </c>
      <c r="F22" s="143"/>
      <c r="G22" s="143"/>
      <c r="H22" s="143"/>
      <c r="I22" s="143">
        <f>SUM(C22:H22)</f>
        <v>64.8</v>
      </c>
      <c r="J22" s="438"/>
      <c r="K22" s="221">
        <f>I22/21</f>
        <v>3.0857142857142854</v>
      </c>
      <c r="L22" s="221"/>
      <c r="M22" s="221"/>
      <c r="N22" s="221"/>
    </row>
    <row r="23" spans="1:14" x14ac:dyDescent="0.3">
      <c r="B23" s="411" t="s">
        <v>418</v>
      </c>
      <c r="C23" s="143"/>
      <c r="D23" s="143">
        <f>C19*0.21</f>
        <v>113.39999999999999</v>
      </c>
      <c r="E23" s="143"/>
      <c r="F23" s="143"/>
      <c r="G23" s="143"/>
      <c r="H23" s="143"/>
      <c r="I23" s="143">
        <f>SUM(C23:H23)</f>
        <v>113.39999999999999</v>
      </c>
      <c r="J23" s="438"/>
      <c r="K23" s="244">
        <f>I30-K22</f>
        <v>-8.571428571428541E-2</v>
      </c>
    </row>
    <row r="24" spans="1:14" x14ac:dyDescent="0.3">
      <c r="B24" s="411" t="s">
        <v>337</v>
      </c>
      <c r="C24" s="145"/>
      <c r="D24" s="145">
        <v>0</v>
      </c>
      <c r="E24" s="145"/>
      <c r="F24" s="145"/>
      <c r="G24" s="145"/>
      <c r="H24" s="145"/>
      <c r="I24" s="143">
        <f>SUM(C24:H24)</f>
        <v>0</v>
      </c>
      <c r="J24" s="440"/>
    </row>
    <row r="25" spans="1:14" x14ac:dyDescent="0.3">
      <c r="B25" s="411" t="s">
        <v>17</v>
      </c>
      <c r="C25" s="412"/>
      <c r="D25" s="412"/>
      <c r="E25" s="412"/>
      <c r="F25" s="412">
        <v>0.86</v>
      </c>
      <c r="G25" s="412"/>
      <c r="H25" s="412"/>
      <c r="I25" s="146">
        <f>SUM(C25:H25)</f>
        <v>0.86</v>
      </c>
      <c r="J25" s="440"/>
    </row>
    <row r="26" spans="1:14" x14ac:dyDescent="0.3">
      <c r="B26" s="411" t="s">
        <v>338</v>
      </c>
      <c r="C26" s="143"/>
      <c r="D26" s="143">
        <f>(C19-E22-D23)*0.86</f>
        <v>311.14800000000002</v>
      </c>
      <c r="E26" s="143"/>
      <c r="F26" s="143"/>
      <c r="G26" s="143"/>
      <c r="H26" s="143"/>
      <c r="I26" s="143">
        <f>SUM(C26:H26)</f>
        <v>311.14800000000002</v>
      </c>
      <c r="J26" s="441"/>
    </row>
    <row r="27" spans="1:14" x14ac:dyDescent="0.3">
      <c r="B27" s="24"/>
      <c r="C27" s="143"/>
      <c r="D27" s="143"/>
      <c r="E27" s="143"/>
      <c r="F27" s="143"/>
      <c r="G27" s="143"/>
      <c r="H27" s="143"/>
      <c r="I27" s="143"/>
      <c r="J27" s="440"/>
    </row>
    <row r="28" spans="1:14" x14ac:dyDescent="0.3">
      <c r="B28" s="19" t="s">
        <v>18</v>
      </c>
      <c r="C28" s="144"/>
      <c r="D28" s="144"/>
      <c r="E28" s="144"/>
      <c r="F28" s="144"/>
      <c r="G28" s="144"/>
      <c r="H28" s="144"/>
      <c r="I28" s="144"/>
      <c r="J28" s="440"/>
      <c r="K28" s="221"/>
    </row>
    <row r="29" spans="1:14" x14ac:dyDescent="0.3">
      <c r="B29" s="25" t="s">
        <v>19</v>
      </c>
      <c r="C29" s="147">
        <v>18</v>
      </c>
      <c r="D29" s="147"/>
      <c r="E29" s="147"/>
      <c r="F29" s="147"/>
      <c r="G29" s="147"/>
      <c r="H29" s="147"/>
      <c r="I29" s="147">
        <f t="shared" ref="I29:I36" si="8">SUM(C29:H29)</f>
        <v>18</v>
      </c>
      <c r="J29" s="438">
        <f>I29/6</f>
        <v>3</v>
      </c>
    </row>
    <row r="30" spans="1:14" s="222" customFormat="1" x14ac:dyDescent="0.3">
      <c r="A30" s="27"/>
      <c r="B30" s="25" t="s">
        <v>20</v>
      </c>
      <c r="C30" s="148">
        <v>0</v>
      </c>
      <c r="D30" s="148"/>
      <c r="E30" s="148">
        <v>3</v>
      </c>
      <c r="F30" s="148"/>
      <c r="G30" s="148"/>
      <c r="H30" s="148"/>
      <c r="I30" s="147">
        <f t="shared" si="8"/>
        <v>3</v>
      </c>
      <c r="J30" s="438">
        <f>(C19*0.12)/22</f>
        <v>2.9454545454545453</v>
      </c>
    </row>
    <row r="31" spans="1:14" x14ac:dyDescent="0.3">
      <c r="B31" s="25" t="s">
        <v>21</v>
      </c>
      <c r="C31" s="147">
        <v>1</v>
      </c>
      <c r="D31" s="147"/>
      <c r="E31" s="147"/>
      <c r="F31" s="147"/>
      <c r="G31" s="147"/>
      <c r="H31" s="147"/>
      <c r="I31" s="147">
        <f t="shared" si="8"/>
        <v>1</v>
      </c>
      <c r="J31" s="440"/>
    </row>
    <row r="32" spans="1:14" x14ac:dyDescent="0.3">
      <c r="B32" s="25" t="s">
        <v>22</v>
      </c>
      <c r="C32" s="147">
        <v>1</v>
      </c>
      <c r="D32" s="147"/>
      <c r="E32" s="147"/>
      <c r="F32" s="147"/>
      <c r="G32" s="147"/>
      <c r="H32" s="147"/>
      <c r="I32" s="147">
        <f t="shared" si="8"/>
        <v>1</v>
      </c>
      <c r="J32" s="440"/>
    </row>
    <row r="33" spans="2:11" x14ac:dyDescent="0.3">
      <c r="B33" s="25" t="s">
        <v>23</v>
      </c>
      <c r="C33" s="147">
        <v>1</v>
      </c>
      <c r="D33" s="147"/>
      <c r="E33" s="147"/>
      <c r="F33" s="147"/>
      <c r="G33" s="147"/>
      <c r="H33" s="147"/>
      <c r="I33" s="147">
        <f t="shared" si="8"/>
        <v>1</v>
      </c>
      <c r="J33" s="440"/>
    </row>
    <row r="34" spans="2:11" x14ac:dyDescent="0.3">
      <c r="B34" s="30" t="s">
        <v>24</v>
      </c>
      <c r="C34" s="147">
        <v>0.5</v>
      </c>
      <c r="D34" s="147"/>
      <c r="E34" s="147"/>
      <c r="F34" s="147"/>
      <c r="G34" s="147"/>
      <c r="H34" s="147"/>
      <c r="I34" s="147">
        <f t="shared" si="8"/>
        <v>0.5</v>
      </c>
      <c r="J34" s="440"/>
    </row>
    <row r="35" spans="2:11" x14ac:dyDescent="0.3">
      <c r="B35" s="30" t="s">
        <v>25</v>
      </c>
      <c r="C35" s="147">
        <v>0</v>
      </c>
      <c r="D35" s="147"/>
      <c r="E35" s="147"/>
      <c r="F35" s="147"/>
      <c r="G35" s="147"/>
      <c r="H35" s="147"/>
      <c r="I35" s="147">
        <f t="shared" si="8"/>
        <v>0</v>
      </c>
      <c r="J35" s="440"/>
    </row>
    <row r="36" spans="2:11" x14ac:dyDescent="0.3">
      <c r="B36" s="30" t="s">
        <v>26</v>
      </c>
      <c r="C36" s="147">
        <v>0</v>
      </c>
      <c r="D36" s="147"/>
      <c r="E36" s="147"/>
      <c r="F36" s="147"/>
      <c r="G36" s="147"/>
      <c r="H36" s="147"/>
      <c r="I36" s="147">
        <f t="shared" si="8"/>
        <v>0</v>
      </c>
      <c r="J36" s="225"/>
    </row>
    <row r="37" spans="2:11" x14ac:dyDescent="0.3">
      <c r="B37" s="31" t="s">
        <v>27</v>
      </c>
      <c r="C37" s="149">
        <f t="shared" ref="C37" si="9">SUM(C29:C36)</f>
        <v>21.5</v>
      </c>
      <c r="D37" s="149">
        <f t="shared" ref="D37:I37" si="10">SUM(D29:D36)</f>
        <v>0</v>
      </c>
      <c r="E37" s="149">
        <f t="shared" si="10"/>
        <v>3</v>
      </c>
      <c r="F37" s="149">
        <f t="shared" si="10"/>
        <v>0</v>
      </c>
      <c r="G37" s="149">
        <f t="shared" si="10"/>
        <v>0</v>
      </c>
      <c r="H37" s="149"/>
      <c r="I37" s="149">
        <f t="shared" si="10"/>
        <v>24.5</v>
      </c>
      <c r="J37" s="231"/>
      <c r="K37" s="221"/>
    </row>
    <row r="38" spans="2:11" x14ac:dyDescent="0.3">
      <c r="B38" s="33"/>
      <c r="C38" s="143"/>
      <c r="D38" s="143"/>
      <c r="E38" s="143"/>
      <c r="F38" s="143"/>
      <c r="G38" s="143"/>
      <c r="H38" s="143"/>
      <c r="I38" s="143"/>
      <c r="J38" s="225"/>
    </row>
    <row r="39" spans="2:11" x14ac:dyDescent="0.3">
      <c r="B39" s="19" t="s">
        <v>28</v>
      </c>
      <c r="C39" s="150" t="str">
        <f t="shared" ref="C39" si="11">C1</f>
        <v>Operating</v>
      </c>
      <c r="D39" s="150" t="str">
        <f t="shared" ref="D39:I39" si="12">D1</f>
        <v>Weights</v>
      </c>
      <c r="E39" s="150" t="str">
        <f t="shared" si="12"/>
        <v>SPED</v>
      </c>
      <c r="F39" s="150" t="str">
        <f t="shared" si="12"/>
        <v>NSLP</v>
      </c>
      <c r="G39" s="150" t="str">
        <f t="shared" si="12"/>
        <v>Title 1</v>
      </c>
      <c r="H39" s="150" t="str">
        <f t="shared" si="12"/>
        <v>Title 2</v>
      </c>
      <c r="I39" s="150" t="str">
        <f t="shared" si="12"/>
        <v>Total</v>
      </c>
      <c r="J39" s="230"/>
    </row>
    <row r="40" spans="2:11" hidden="1" x14ac:dyDescent="0.3">
      <c r="B40" s="25" t="s">
        <v>29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/>
      <c r="I40" s="151">
        <v>0</v>
      </c>
      <c r="J40" s="225"/>
    </row>
    <row r="41" spans="2:11" x14ac:dyDescent="0.3">
      <c r="B41" s="25" t="s">
        <v>30</v>
      </c>
      <c r="C41" s="147">
        <v>1</v>
      </c>
      <c r="D41" s="147"/>
      <c r="E41" s="147"/>
      <c r="F41" s="147"/>
      <c r="G41" s="147"/>
      <c r="H41" s="147"/>
      <c r="I41" s="147">
        <f t="shared" ref="I41:I59" si="13">SUM(C41:H41)</f>
        <v>1</v>
      </c>
      <c r="J41" s="225"/>
    </row>
    <row r="42" spans="2:11" x14ac:dyDescent="0.3">
      <c r="B42" s="25" t="s">
        <v>31</v>
      </c>
      <c r="C42" s="147">
        <v>1</v>
      </c>
      <c r="D42" s="147"/>
      <c r="E42" s="147"/>
      <c r="F42" s="147"/>
      <c r="G42" s="147"/>
      <c r="H42" s="147"/>
      <c r="I42" s="147">
        <f t="shared" si="13"/>
        <v>1</v>
      </c>
      <c r="J42" s="225"/>
    </row>
    <row r="43" spans="2:11" x14ac:dyDescent="0.3">
      <c r="B43" s="25" t="s">
        <v>413</v>
      </c>
      <c r="C43" s="147">
        <v>1</v>
      </c>
      <c r="D43" s="147"/>
      <c r="E43" s="147"/>
      <c r="F43" s="147"/>
      <c r="G43" s="147"/>
      <c r="H43" s="147"/>
      <c r="I43" s="147">
        <f t="shared" si="13"/>
        <v>1</v>
      </c>
      <c r="J43" s="225"/>
    </row>
    <row r="44" spans="2:11" x14ac:dyDescent="0.3">
      <c r="B44" s="36" t="s">
        <v>412</v>
      </c>
      <c r="C44" s="147">
        <v>0</v>
      </c>
      <c r="D44" s="147"/>
      <c r="E44" s="147"/>
      <c r="F44" s="147"/>
      <c r="G44" s="147">
        <v>1</v>
      </c>
      <c r="H44" s="147"/>
      <c r="I44" s="147">
        <f t="shared" si="13"/>
        <v>1</v>
      </c>
      <c r="J44" s="225"/>
    </row>
    <row r="45" spans="2:11" x14ac:dyDescent="0.3">
      <c r="B45" s="36" t="s">
        <v>415</v>
      </c>
      <c r="C45" s="147">
        <v>0</v>
      </c>
      <c r="D45" s="147">
        <v>1</v>
      </c>
      <c r="E45" s="147"/>
      <c r="F45" s="147"/>
      <c r="G45" s="147"/>
      <c r="H45" s="147"/>
      <c r="I45" s="147">
        <f t="shared" si="13"/>
        <v>1</v>
      </c>
      <c r="J45" s="225"/>
    </row>
    <row r="46" spans="2:11" x14ac:dyDescent="0.3">
      <c r="B46" s="25" t="s">
        <v>32</v>
      </c>
      <c r="C46" s="147">
        <v>1</v>
      </c>
      <c r="D46" s="147"/>
      <c r="E46" s="147"/>
      <c r="F46" s="147"/>
      <c r="G46" s="147"/>
      <c r="H46" s="147"/>
      <c r="I46" s="147">
        <f t="shared" si="13"/>
        <v>1</v>
      </c>
      <c r="J46" s="225"/>
    </row>
    <row r="47" spans="2:11" x14ac:dyDescent="0.3">
      <c r="B47" s="25" t="s">
        <v>33</v>
      </c>
      <c r="C47" s="147">
        <v>0.5</v>
      </c>
      <c r="D47" s="147"/>
      <c r="E47" s="147"/>
      <c r="F47" s="147"/>
      <c r="G47" s="147"/>
      <c r="H47" s="147"/>
      <c r="I47" s="147">
        <f t="shared" si="13"/>
        <v>0.5</v>
      </c>
      <c r="J47" s="225"/>
    </row>
    <row r="48" spans="2:11" x14ac:dyDescent="0.3">
      <c r="B48" s="25" t="s">
        <v>34</v>
      </c>
      <c r="C48" s="147">
        <v>1</v>
      </c>
      <c r="D48" s="147"/>
      <c r="E48" s="147"/>
      <c r="F48" s="147"/>
      <c r="G48" s="147"/>
      <c r="H48" s="147"/>
      <c r="I48" s="147">
        <f t="shared" si="13"/>
        <v>1</v>
      </c>
      <c r="J48" s="225"/>
    </row>
    <row r="49" spans="2:14" x14ac:dyDescent="0.3">
      <c r="B49" s="25" t="s">
        <v>35</v>
      </c>
      <c r="C49" s="147">
        <v>1</v>
      </c>
      <c r="D49" s="147"/>
      <c r="E49" s="147"/>
      <c r="F49" s="147"/>
      <c r="G49" s="147"/>
      <c r="H49" s="147"/>
      <c r="I49" s="147">
        <f t="shared" si="13"/>
        <v>1</v>
      </c>
      <c r="J49" s="225"/>
    </row>
    <row r="50" spans="2:14" x14ac:dyDescent="0.3">
      <c r="B50" s="25" t="s">
        <v>427</v>
      </c>
      <c r="C50" s="147">
        <v>0</v>
      </c>
      <c r="D50" s="147">
        <v>0</v>
      </c>
      <c r="E50" s="147">
        <v>1</v>
      </c>
      <c r="F50" s="147"/>
      <c r="G50" s="147">
        <v>3</v>
      </c>
      <c r="H50" s="147"/>
      <c r="I50" s="147">
        <f t="shared" si="13"/>
        <v>4</v>
      </c>
      <c r="J50" s="225"/>
      <c r="K50" s="221"/>
      <c r="L50" s="221"/>
      <c r="M50" s="221"/>
      <c r="N50" s="221"/>
    </row>
    <row r="51" spans="2:14" x14ac:dyDescent="0.3">
      <c r="B51" s="488" t="s">
        <v>458</v>
      </c>
      <c r="C51" s="147">
        <v>1</v>
      </c>
      <c r="D51" s="147"/>
      <c r="E51" s="147"/>
      <c r="F51" s="147"/>
      <c r="G51" s="147"/>
      <c r="H51" s="147"/>
      <c r="I51" s="147">
        <f t="shared" si="13"/>
        <v>1</v>
      </c>
      <c r="J51" s="225"/>
    </row>
    <row r="52" spans="2:14" x14ac:dyDescent="0.3">
      <c r="B52" s="25" t="s">
        <v>414</v>
      </c>
      <c r="C52" s="147">
        <v>0</v>
      </c>
      <c r="D52" s="147"/>
      <c r="E52" s="147"/>
      <c r="F52" s="147">
        <v>1</v>
      </c>
      <c r="G52" s="147"/>
      <c r="H52" s="147"/>
      <c r="I52" s="147">
        <f t="shared" si="13"/>
        <v>1</v>
      </c>
      <c r="J52" s="225"/>
    </row>
    <row r="53" spans="2:14" x14ac:dyDescent="0.3">
      <c r="B53" s="37" t="s">
        <v>37</v>
      </c>
      <c r="C53" s="147">
        <v>0</v>
      </c>
      <c r="D53" s="147"/>
      <c r="E53" s="147"/>
      <c r="F53" s="147"/>
      <c r="G53" s="147"/>
      <c r="H53" s="147"/>
      <c r="I53" s="147">
        <f t="shared" si="13"/>
        <v>0</v>
      </c>
      <c r="J53" s="225"/>
    </row>
    <row r="54" spans="2:14" x14ac:dyDescent="0.3">
      <c r="B54" s="37" t="s">
        <v>38</v>
      </c>
      <c r="C54" s="147">
        <v>0</v>
      </c>
      <c r="D54" s="147"/>
      <c r="E54" s="147"/>
      <c r="F54" s="147"/>
      <c r="G54" s="147"/>
      <c r="H54" s="147"/>
      <c r="I54" s="147">
        <f t="shared" si="13"/>
        <v>0</v>
      </c>
      <c r="J54" s="225"/>
    </row>
    <row r="55" spans="2:14" x14ac:dyDescent="0.3">
      <c r="B55" s="37" t="s">
        <v>39</v>
      </c>
      <c r="C55" s="147">
        <v>0</v>
      </c>
      <c r="D55" s="147"/>
      <c r="E55" s="147"/>
      <c r="F55" s="147"/>
      <c r="G55" s="147"/>
      <c r="H55" s="147"/>
      <c r="I55" s="147">
        <f t="shared" si="13"/>
        <v>0</v>
      </c>
      <c r="J55" s="225"/>
    </row>
    <row r="56" spans="2:14" x14ac:dyDescent="0.3">
      <c r="B56" s="37" t="s">
        <v>40</v>
      </c>
      <c r="C56" s="147">
        <v>0</v>
      </c>
      <c r="D56" s="147"/>
      <c r="E56" s="147"/>
      <c r="F56" s="147"/>
      <c r="G56" s="147"/>
      <c r="H56" s="147"/>
      <c r="I56" s="147">
        <f t="shared" si="13"/>
        <v>0</v>
      </c>
      <c r="J56" s="225"/>
    </row>
    <row r="57" spans="2:14" x14ac:dyDescent="0.3">
      <c r="B57" s="37" t="s">
        <v>70</v>
      </c>
      <c r="C57" s="147">
        <v>0</v>
      </c>
      <c r="D57" s="147"/>
      <c r="E57" s="147"/>
      <c r="F57" s="147"/>
      <c r="G57" s="147"/>
      <c r="H57" s="147"/>
      <c r="I57" s="147">
        <f t="shared" si="13"/>
        <v>0</v>
      </c>
      <c r="J57" s="231"/>
    </row>
    <row r="58" spans="2:14" x14ac:dyDescent="0.3">
      <c r="B58" s="37" t="s">
        <v>417</v>
      </c>
      <c r="C58" s="147">
        <v>0</v>
      </c>
      <c r="D58" s="147">
        <v>1</v>
      </c>
      <c r="E58" s="147"/>
      <c r="F58" s="147"/>
      <c r="G58" s="147"/>
      <c r="H58" s="147"/>
      <c r="I58" s="147">
        <f t="shared" si="13"/>
        <v>1</v>
      </c>
      <c r="J58" s="225"/>
    </row>
    <row r="59" spans="2:14" x14ac:dyDescent="0.3">
      <c r="B59" s="39"/>
      <c r="C59" s="151"/>
      <c r="D59" s="151"/>
      <c r="E59" s="151"/>
      <c r="F59" s="151"/>
      <c r="G59" s="151"/>
      <c r="H59" s="151"/>
      <c r="I59" s="147">
        <f t="shared" si="13"/>
        <v>0</v>
      </c>
      <c r="J59" s="225"/>
    </row>
    <row r="60" spans="2:14" x14ac:dyDescent="0.3">
      <c r="B60" s="31" t="s">
        <v>41</v>
      </c>
      <c r="C60" s="152">
        <f t="shared" ref="C60" si="14">SUM(C40:C59)</f>
        <v>7.5</v>
      </c>
      <c r="D60" s="152">
        <f>SUM(D40:D59)</f>
        <v>2</v>
      </c>
      <c r="E60" s="152">
        <f t="shared" ref="E60:I60" si="15">SUM(E40:E59)</f>
        <v>1</v>
      </c>
      <c r="F60" s="152">
        <f t="shared" si="15"/>
        <v>1</v>
      </c>
      <c r="G60" s="152">
        <f t="shared" si="15"/>
        <v>4</v>
      </c>
      <c r="H60" s="152"/>
      <c r="I60" s="152">
        <f t="shared" si="15"/>
        <v>15.5</v>
      </c>
      <c r="J60" s="231"/>
      <c r="K60" s="221"/>
    </row>
    <row r="61" spans="2:14" ht="15" thickBot="1" x14ac:dyDescent="0.35">
      <c r="B61" s="41"/>
      <c r="C61" s="153"/>
      <c r="D61" s="153"/>
      <c r="E61" s="153"/>
      <c r="F61" s="153"/>
      <c r="G61" s="153"/>
      <c r="H61" s="153"/>
      <c r="I61" s="153"/>
      <c r="J61" s="225"/>
    </row>
    <row r="62" spans="2:14" x14ac:dyDescent="0.3">
      <c r="B62" s="43" t="s">
        <v>42</v>
      </c>
      <c r="C62" s="44">
        <f t="shared" ref="C62" si="16">C37</f>
        <v>21.5</v>
      </c>
      <c r="D62" s="44">
        <f>D37</f>
        <v>0</v>
      </c>
      <c r="E62" s="44">
        <f t="shared" ref="E62:I62" si="17">E37</f>
        <v>3</v>
      </c>
      <c r="F62" s="44">
        <f t="shared" si="17"/>
        <v>0</v>
      </c>
      <c r="G62" s="44">
        <f t="shared" si="17"/>
        <v>0</v>
      </c>
      <c r="H62" s="44"/>
      <c r="I62" s="44">
        <f t="shared" si="17"/>
        <v>24.5</v>
      </c>
      <c r="J62" s="225"/>
    </row>
    <row r="63" spans="2:14" ht="15" thickBot="1" x14ac:dyDescent="0.35">
      <c r="B63" s="45" t="s">
        <v>43</v>
      </c>
      <c r="C63" s="46">
        <f t="shared" ref="C63" si="18">C60</f>
        <v>7.5</v>
      </c>
      <c r="D63" s="46">
        <f>D60</f>
        <v>2</v>
      </c>
      <c r="E63" s="46">
        <f t="shared" ref="E63:I63" si="19">E60</f>
        <v>1</v>
      </c>
      <c r="F63" s="46">
        <f t="shared" si="19"/>
        <v>1</v>
      </c>
      <c r="G63" s="46">
        <f t="shared" si="19"/>
        <v>4</v>
      </c>
      <c r="H63" s="46"/>
      <c r="I63" s="46">
        <f t="shared" si="19"/>
        <v>15.5</v>
      </c>
      <c r="J63" s="225"/>
    </row>
    <row r="64" spans="2:14" ht="15" thickBot="1" x14ac:dyDescent="0.35">
      <c r="B64" s="47" t="s">
        <v>44</v>
      </c>
      <c r="C64" s="48">
        <f t="shared" ref="C64" si="20">SUM(C62:C63)</f>
        <v>29</v>
      </c>
      <c r="D64" s="48">
        <f>SUM(D62:D63)</f>
        <v>2</v>
      </c>
      <c r="E64" s="48">
        <f t="shared" ref="E64:I64" si="21">SUM(E62:E63)</f>
        <v>4</v>
      </c>
      <c r="F64" s="48">
        <f t="shared" si="21"/>
        <v>1</v>
      </c>
      <c r="G64" s="48">
        <f t="shared" si="21"/>
        <v>4</v>
      </c>
      <c r="H64" s="48"/>
      <c r="I64" s="48">
        <f t="shared" si="21"/>
        <v>40</v>
      </c>
      <c r="J64" s="225"/>
    </row>
    <row r="65" spans="1:13" ht="15" thickBot="1" x14ac:dyDescent="0.35">
      <c r="B65" s="37"/>
      <c r="C65" s="154"/>
      <c r="D65" s="154"/>
      <c r="E65" s="154"/>
      <c r="F65" s="154"/>
      <c r="G65" s="154"/>
      <c r="H65" s="154"/>
      <c r="I65" s="154"/>
      <c r="J65" s="225"/>
    </row>
    <row r="66" spans="1:13" x14ac:dyDescent="0.3">
      <c r="B66" s="127" t="s">
        <v>45</v>
      </c>
      <c r="C66" s="51"/>
      <c r="D66" s="432"/>
      <c r="E66" s="51"/>
      <c r="F66" s="51"/>
      <c r="G66" s="51"/>
      <c r="H66" s="51"/>
      <c r="I66" s="432">
        <f>I135/(I203+I205+I206+I207+I208+I209)</f>
        <v>0.20886879867084474</v>
      </c>
      <c r="J66" s="225"/>
    </row>
    <row r="67" spans="1:13" x14ac:dyDescent="0.3">
      <c r="B67" s="33" t="s">
        <v>46</v>
      </c>
      <c r="C67" s="53"/>
      <c r="D67" s="433"/>
      <c r="E67" s="53"/>
      <c r="F67" s="53"/>
      <c r="G67" s="53"/>
      <c r="H67" s="53"/>
      <c r="I67" s="433">
        <f t="shared" ref="I67" si="22">(I108+I109+I112+I123)/I128</f>
        <v>0.70326528849992664</v>
      </c>
      <c r="J67" s="225"/>
    </row>
    <row r="68" spans="1:13" x14ac:dyDescent="0.3">
      <c r="B68" s="128" t="s">
        <v>47</v>
      </c>
      <c r="C68" s="53"/>
      <c r="D68" s="433"/>
      <c r="E68" s="53"/>
      <c r="F68" s="53"/>
      <c r="G68" s="53"/>
      <c r="H68" s="53"/>
      <c r="I68" s="433">
        <f t="shared" ref="I68" si="23">(I102+I103+I104+I107+I110+I111+I113+I114+I117+I118+I119+I120+I121+I122+I125+I126)/I128</f>
        <v>0.23591410323683315</v>
      </c>
      <c r="J68" s="225"/>
    </row>
    <row r="69" spans="1:13" ht="15" thickBot="1" x14ac:dyDescent="0.35">
      <c r="B69" s="129" t="s">
        <v>48</v>
      </c>
      <c r="C69" s="56"/>
      <c r="D69" s="434"/>
      <c r="E69" s="56"/>
      <c r="F69" s="56"/>
      <c r="G69" s="56"/>
      <c r="H69" s="56"/>
      <c r="I69" s="434">
        <f>(I206+I207+I208+I209)/(I98-I87)</f>
        <v>0.10609815699188846</v>
      </c>
      <c r="J69" s="225"/>
    </row>
    <row r="70" spans="1:13" s="62" customFormat="1" x14ac:dyDescent="0.3">
      <c r="A70" s="57"/>
      <c r="B70" s="58"/>
      <c r="C70" s="154"/>
      <c r="D70" s="154"/>
      <c r="E70" s="154"/>
      <c r="F70" s="154"/>
      <c r="G70" s="154"/>
      <c r="H70" s="154"/>
      <c r="I70" s="154"/>
      <c r="J70" s="225"/>
    </row>
    <row r="71" spans="1:13" s="62" customFormat="1" x14ac:dyDescent="0.3">
      <c r="A71" s="57"/>
      <c r="C71" s="154"/>
      <c r="D71" s="154"/>
      <c r="E71" s="154"/>
      <c r="F71" s="154"/>
      <c r="G71" s="154"/>
      <c r="H71" s="154"/>
      <c r="I71" s="154"/>
      <c r="J71" s="225"/>
    </row>
    <row r="72" spans="1:13" x14ac:dyDescent="0.3">
      <c r="A72" s="63"/>
      <c r="B72" s="130" t="s">
        <v>405</v>
      </c>
      <c r="C72" s="155" t="str">
        <f t="shared" ref="C72" si="24">C1</f>
        <v>Operating</v>
      </c>
      <c r="D72" s="155" t="str">
        <f t="shared" ref="D72:I72" si="25">D1</f>
        <v>Weights</v>
      </c>
      <c r="E72" s="155" t="str">
        <f t="shared" si="25"/>
        <v>SPED</v>
      </c>
      <c r="F72" s="155" t="str">
        <f t="shared" si="25"/>
        <v>NSLP</v>
      </c>
      <c r="G72" s="155" t="str">
        <f t="shared" si="25"/>
        <v>Title 1</v>
      </c>
      <c r="H72" s="155" t="str">
        <f t="shared" si="25"/>
        <v>Title 2</v>
      </c>
      <c r="I72" s="155" t="str">
        <f t="shared" si="25"/>
        <v>Total</v>
      </c>
      <c r="J72" s="232"/>
      <c r="K72" s="273" t="s">
        <v>221</v>
      </c>
      <c r="L72" s="273" t="s">
        <v>222</v>
      </c>
      <c r="M72" s="273" t="s">
        <v>223</v>
      </c>
    </row>
    <row r="73" spans="1:13" x14ac:dyDescent="0.3">
      <c r="A73" s="67">
        <v>3110</v>
      </c>
      <c r="B73" s="413" t="s">
        <v>339</v>
      </c>
      <c r="C73" s="156">
        <f>(C2*C5)</f>
        <v>4093916.9501032876</v>
      </c>
      <c r="D73" s="156"/>
      <c r="E73" s="156"/>
      <c r="F73" s="156"/>
      <c r="G73" s="156"/>
      <c r="H73" s="156"/>
      <c r="I73" s="143">
        <f t="shared" ref="I73:I84" si="26">SUM(C73:H73)</f>
        <v>4093916.9501032876</v>
      </c>
      <c r="J73" s="233"/>
      <c r="K73" s="219">
        <v>200</v>
      </c>
      <c r="L73" s="219">
        <v>280</v>
      </c>
      <c r="M73" s="219">
        <v>364</v>
      </c>
    </row>
    <row r="74" spans="1:13" x14ac:dyDescent="0.3">
      <c r="A74" s="67">
        <v>4500</v>
      </c>
      <c r="B74" s="409" t="s">
        <v>331</v>
      </c>
      <c r="C74" s="143"/>
      <c r="D74" s="143"/>
      <c r="E74" s="143"/>
      <c r="F74" s="143">
        <f>(C19*F25)*3.5*180+((C19*F25)*1.84*180)</f>
        <v>446381.28</v>
      </c>
      <c r="G74" s="143"/>
      <c r="H74" s="143"/>
      <c r="I74" s="143">
        <f t="shared" si="26"/>
        <v>446381.28</v>
      </c>
      <c r="J74" s="234"/>
      <c r="K74" s="272">
        <v>91981</v>
      </c>
      <c r="L74" s="272">
        <v>89741.34</v>
      </c>
      <c r="M74" s="272">
        <f>233347-50000</f>
        <v>183347</v>
      </c>
    </row>
    <row r="75" spans="1:13" x14ac:dyDescent="0.3">
      <c r="A75" s="67">
        <v>4500</v>
      </c>
      <c r="B75" s="409" t="s">
        <v>330</v>
      </c>
      <c r="C75" s="143"/>
      <c r="D75" s="143"/>
      <c r="E75" s="143">
        <f>950*'24-25'!E22</f>
        <v>51300</v>
      </c>
      <c r="F75" s="143"/>
      <c r="G75" s="143"/>
      <c r="H75" s="143"/>
      <c r="I75" s="143">
        <f t="shared" si="26"/>
        <v>51300</v>
      </c>
      <c r="J75" s="235"/>
      <c r="L75" s="274"/>
    </row>
    <row r="76" spans="1:13" x14ac:dyDescent="0.3">
      <c r="A76" s="74">
        <v>3115</v>
      </c>
      <c r="B76" s="410" t="s">
        <v>51</v>
      </c>
      <c r="C76" s="153"/>
      <c r="D76" s="153"/>
      <c r="E76" s="153">
        <f>2755*'24-25'!E22</f>
        <v>148770</v>
      </c>
      <c r="F76" s="153"/>
      <c r="G76" s="153"/>
      <c r="H76" s="153"/>
      <c r="I76" s="143">
        <f t="shared" si="26"/>
        <v>148770</v>
      </c>
      <c r="J76" s="235"/>
    </row>
    <row r="77" spans="1:13" x14ac:dyDescent="0.3">
      <c r="A77" s="74"/>
      <c r="B77" s="410" t="s">
        <v>384</v>
      </c>
      <c r="C77" s="153"/>
      <c r="D77" s="153"/>
      <c r="E77" s="153"/>
      <c r="F77" s="153"/>
      <c r="G77" s="153">
        <f>((C19*F25)*0.9)*400</f>
        <v>167184</v>
      </c>
      <c r="H77" s="153"/>
      <c r="I77" s="143">
        <f t="shared" si="26"/>
        <v>167184</v>
      </c>
      <c r="J77" s="235"/>
    </row>
    <row r="78" spans="1:13" x14ac:dyDescent="0.3">
      <c r="A78" s="74"/>
      <c r="B78" s="410" t="s">
        <v>390</v>
      </c>
      <c r="C78" s="153"/>
      <c r="D78" s="153"/>
      <c r="E78" s="153"/>
      <c r="F78" s="153"/>
      <c r="G78" s="153">
        <v>0</v>
      </c>
      <c r="H78" s="153">
        <f>'24-25'!C19*85</f>
        <v>38250</v>
      </c>
      <c r="I78" s="143">
        <f t="shared" si="26"/>
        <v>38250</v>
      </c>
      <c r="J78" s="235"/>
    </row>
    <row r="79" spans="1:13" x14ac:dyDescent="0.3">
      <c r="A79" s="74"/>
      <c r="B79" s="409" t="s">
        <v>416</v>
      </c>
      <c r="C79" s="153"/>
      <c r="D79" s="153">
        <f>1635.98*'24-25'!D23</f>
        <v>154600.11000000002</v>
      </c>
      <c r="E79" s="153"/>
      <c r="F79" s="153"/>
      <c r="G79" s="153"/>
      <c r="H79" s="153"/>
      <c r="I79" s="143">
        <f t="shared" si="26"/>
        <v>154600.11000000002</v>
      </c>
      <c r="J79" s="235"/>
      <c r="K79" s="414">
        <f>7074*0.23</f>
        <v>1627.02</v>
      </c>
      <c r="L79" s="219" t="s">
        <v>342</v>
      </c>
    </row>
    <row r="80" spans="1:13" x14ac:dyDescent="0.3">
      <c r="A80" s="67">
        <v>3200</v>
      </c>
      <c r="B80" s="409" t="s">
        <v>332</v>
      </c>
      <c r="C80" s="143"/>
      <c r="D80" s="143"/>
      <c r="E80" s="143"/>
      <c r="F80" s="143"/>
      <c r="G80" s="143"/>
      <c r="H80" s="143"/>
      <c r="I80" s="143">
        <f t="shared" si="26"/>
        <v>0</v>
      </c>
      <c r="J80" s="235"/>
      <c r="K80" s="414">
        <f>7074*0.12</f>
        <v>848.88</v>
      </c>
      <c r="L80" s="219" t="s">
        <v>343</v>
      </c>
    </row>
    <row r="81" spans="1:13" x14ac:dyDescent="0.3">
      <c r="A81" s="67"/>
      <c r="B81" s="409" t="s">
        <v>334</v>
      </c>
      <c r="C81" s="143"/>
      <c r="D81" s="143">
        <f>'24-25'!D26*247.07</f>
        <v>64062.780300000006</v>
      </c>
      <c r="E81" s="143"/>
      <c r="F81" s="143"/>
      <c r="G81" s="143"/>
      <c r="H81" s="143"/>
      <c r="I81" s="143">
        <f t="shared" si="26"/>
        <v>64062.780300000006</v>
      </c>
      <c r="J81" s="225"/>
      <c r="K81" s="414">
        <f>7074*0.03</f>
        <v>212.22</v>
      </c>
      <c r="L81" s="274" t="s">
        <v>344</v>
      </c>
      <c r="M81" s="274"/>
    </row>
    <row r="82" spans="1:13" x14ac:dyDescent="0.3">
      <c r="A82" s="67"/>
      <c r="B82" s="71" t="s">
        <v>456</v>
      </c>
      <c r="C82" s="143"/>
      <c r="D82" s="143"/>
      <c r="E82" s="143"/>
      <c r="F82" s="143"/>
      <c r="G82" s="143"/>
      <c r="H82" s="143"/>
      <c r="I82" s="143">
        <f t="shared" si="26"/>
        <v>0</v>
      </c>
      <c r="J82" s="225"/>
      <c r="K82" s="274"/>
      <c r="L82" s="274"/>
      <c r="M82" s="274"/>
    </row>
    <row r="83" spans="1:13" x14ac:dyDescent="0.3">
      <c r="A83" s="67"/>
      <c r="B83" s="545" t="s">
        <v>454</v>
      </c>
      <c r="C83" s="546">
        <v>0</v>
      </c>
      <c r="D83" s="546"/>
      <c r="E83" s="546"/>
      <c r="F83" s="546"/>
      <c r="G83" s="546"/>
      <c r="H83" s="546"/>
      <c r="I83" s="546">
        <f t="shared" si="26"/>
        <v>0</v>
      </c>
      <c r="J83" s="225"/>
      <c r="K83" s="274"/>
      <c r="L83" s="274"/>
      <c r="M83" s="274"/>
    </row>
    <row r="84" spans="1:13" ht="15" thickBot="1" x14ac:dyDescent="0.35">
      <c r="A84" s="67"/>
      <c r="B84" s="82" t="s">
        <v>428</v>
      </c>
      <c r="C84" s="143">
        <v>0</v>
      </c>
      <c r="D84" s="143"/>
      <c r="E84" s="143"/>
      <c r="F84" s="143"/>
      <c r="G84" s="143"/>
      <c r="H84" s="143"/>
      <c r="I84" s="143">
        <f t="shared" si="26"/>
        <v>0</v>
      </c>
      <c r="J84" s="431"/>
      <c r="K84" s="167"/>
    </row>
    <row r="85" spans="1:13" ht="15" thickBot="1" x14ac:dyDescent="0.35">
      <c r="A85" s="75"/>
      <c r="B85" s="131" t="s">
        <v>52</v>
      </c>
      <c r="C85" s="77">
        <f t="shared" ref="C85:I85" si="27">SUM(C73:C84)</f>
        <v>4093916.9501032876</v>
      </c>
      <c r="D85" s="77">
        <f t="shared" si="27"/>
        <v>218662.89030000003</v>
      </c>
      <c r="E85" s="77">
        <f t="shared" si="27"/>
        <v>200070</v>
      </c>
      <c r="F85" s="77">
        <f t="shared" si="27"/>
        <v>446381.28</v>
      </c>
      <c r="G85" s="77">
        <f t="shared" si="27"/>
        <v>167184</v>
      </c>
      <c r="H85" s="77">
        <f t="shared" si="27"/>
        <v>38250</v>
      </c>
      <c r="I85" s="77">
        <f t="shared" si="27"/>
        <v>5164465.1204032879</v>
      </c>
      <c r="J85" s="225"/>
    </row>
    <row r="86" spans="1:13" hidden="1" x14ac:dyDescent="0.3">
      <c r="A86" s="78"/>
      <c r="B86" s="71" t="s">
        <v>53</v>
      </c>
      <c r="C86" s="157">
        <f>C2*C5</f>
        <v>4093916.9501032876</v>
      </c>
      <c r="D86" s="157"/>
      <c r="E86" s="157"/>
      <c r="F86" s="157"/>
      <c r="G86" s="157"/>
      <c r="H86" s="157"/>
      <c r="I86" s="143">
        <f t="shared" ref="I86:I97" si="28">SUM(C86:H86)</f>
        <v>4093916.9501032876</v>
      </c>
      <c r="J86" s="231"/>
    </row>
    <row r="87" spans="1:13" hidden="1" x14ac:dyDescent="0.3">
      <c r="A87" s="67"/>
      <c r="B87" s="409" t="str">
        <f t="shared" ref="B87:H89" si="29">B74</f>
        <v>National School Lunch Program (NSLP)</v>
      </c>
      <c r="C87" s="143">
        <f t="shared" si="29"/>
        <v>0</v>
      </c>
      <c r="D87" s="143">
        <f t="shared" si="29"/>
        <v>0</v>
      </c>
      <c r="E87" s="143">
        <f t="shared" si="29"/>
        <v>0</v>
      </c>
      <c r="F87" s="143">
        <f t="shared" si="29"/>
        <v>446381.28</v>
      </c>
      <c r="G87" s="143">
        <f t="shared" si="29"/>
        <v>0</v>
      </c>
      <c r="H87" s="143">
        <f>H74</f>
        <v>0</v>
      </c>
      <c r="I87" s="143">
        <f t="shared" si="28"/>
        <v>446381.28</v>
      </c>
      <c r="J87" s="225"/>
    </row>
    <row r="88" spans="1:13" hidden="1" x14ac:dyDescent="0.3">
      <c r="A88" s="67"/>
      <c r="B88" s="409" t="str">
        <f t="shared" si="29"/>
        <v>SPED Funding (Part B)</v>
      </c>
      <c r="C88" s="143">
        <f t="shared" si="29"/>
        <v>0</v>
      </c>
      <c r="D88" s="143">
        <f t="shared" si="29"/>
        <v>0</v>
      </c>
      <c r="E88" s="143">
        <f t="shared" si="29"/>
        <v>51300</v>
      </c>
      <c r="F88" s="143">
        <f t="shared" si="29"/>
        <v>0</v>
      </c>
      <c r="G88" s="143">
        <f t="shared" si="29"/>
        <v>0</v>
      </c>
      <c r="H88" s="143">
        <f t="shared" si="29"/>
        <v>0</v>
      </c>
      <c r="I88" s="143">
        <f t="shared" si="28"/>
        <v>51300</v>
      </c>
      <c r="J88" s="225"/>
    </row>
    <row r="89" spans="1:13" hidden="1" x14ac:dyDescent="0.3">
      <c r="A89" s="74"/>
      <c r="B89" s="409" t="str">
        <f t="shared" si="29"/>
        <v>SPED Discretionary Unit</v>
      </c>
      <c r="C89" s="153">
        <f t="shared" si="29"/>
        <v>0</v>
      </c>
      <c r="D89" s="143">
        <f t="shared" si="29"/>
        <v>0</v>
      </c>
      <c r="E89" s="143">
        <f t="shared" si="29"/>
        <v>148770</v>
      </c>
      <c r="F89" s="143">
        <f t="shared" si="29"/>
        <v>0</v>
      </c>
      <c r="G89" s="143">
        <f t="shared" si="29"/>
        <v>0</v>
      </c>
      <c r="H89" s="143">
        <f t="shared" si="29"/>
        <v>0</v>
      </c>
      <c r="I89" s="143">
        <f t="shared" si="28"/>
        <v>148770</v>
      </c>
      <c r="J89" s="225"/>
    </row>
    <row r="90" spans="1:13" hidden="1" x14ac:dyDescent="0.3">
      <c r="A90" s="74"/>
      <c r="B90" s="409" t="s">
        <v>384</v>
      </c>
      <c r="C90" s="153">
        <f t="shared" ref="C90" si="30">C77</f>
        <v>0</v>
      </c>
      <c r="D90" s="143">
        <f>D77</f>
        <v>0</v>
      </c>
      <c r="E90" s="143">
        <f>E77</f>
        <v>0</v>
      </c>
      <c r="F90" s="143">
        <f>F77</f>
        <v>0</v>
      </c>
      <c r="G90" s="143">
        <f>G77</f>
        <v>167184</v>
      </c>
      <c r="H90" s="143">
        <f t="shared" ref="H90:H97" si="31">H77</f>
        <v>0</v>
      </c>
      <c r="I90" s="143">
        <f t="shared" si="28"/>
        <v>167184</v>
      </c>
      <c r="J90" s="225"/>
    </row>
    <row r="91" spans="1:13" hidden="1" x14ac:dyDescent="0.3">
      <c r="A91" s="74"/>
      <c r="B91" s="410" t="s">
        <v>390</v>
      </c>
      <c r="C91" s="153"/>
      <c r="D91" s="143"/>
      <c r="E91" s="143"/>
      <c r="F91" s="143"/>
      <c r="G91" s="143">
        <f t="shared" ref="G91:G97" si="32">G78</f>
        <v>0</v>
      </c>
      <c r="H91" s="143">
        <f t="shared" si="31"/>
        <v>38250</v>
      </c>
      <c r="I91" s="143">
        <f t="shared" si="28"/>
        <v>38250</v>
      </c>
      <c r="J91" s="225"/>
    </row>
    <row r="92" spans="1:13" hidden="1" x14ac:dyDescent="0.3">
      <c r="A92" s="67"/>
      <c r="B92" s="409" t="str">
        <f t="shared" ref="B92:F97" si="33">B79</f>
        <v>EL Weight</v>
      </c>
      <c r="C92" s="153">
        <f t="shared" si="33"/>
        <v>0</v>
      </c>
      <c r="D92" s="143">
        <f t="shared" si="33"/>
        <v>154600.11000000002</v>
      </c>
      <c r="E92" s="143">
        <f t="shared" si="33"/>
        <v>0</v>
      </c>
      <c r="F92" s="143">
        <f t="shared" si="33"/>
        <v>0</v>
      </c>
      <c r="G92" s="143">
        <f t="shared" si="32"/>
        <v>0</v>
      </c>
      <c r="H92" s="143">
        <f t="shared" si="31"/>
        <v>0</v>
      </c>
      <c r="I92" s="143">
        <f t="shared" si="28"/>
        <v>154600.11000000002</v>
      </c>
      <c r="J92" s="225"/>
    </row>
    <row r="93" spans="1:13" hidden="1" x14ac:dyDescent="0.3">
      <c r="A93" s="67"/>
      <c r="B93" s="409" t="str">
        <f t="shared" si="33"/>
        <v>Gifted and Talented Education (GATE) Weight</v>
      </c>
      <c r="C93" s="153">
        <f t="shared" si="33"/>
        <v>0</v>
      </c>
      <c r="D93" s="143">
        <f t="shared" si="33"/>
        <v>0</v>
      </c>
      <c r="E93" s="143">
        <f t="shared" si="33"/>
        <v>0</v>
      </c>
      <c r="F93" s="143">
        <f t="shared" si="33"/>
        <v>0</v>
      </c>
      <c r="G93" s="143">
        <f t="shared" si="32"/>
        <v>0</v>
      </c>
      <c r="H93" s="143">
        <f t="shared" si="31"/>
        <v>0</v>
      </c>
      <c r="I93" s="143">
        <f t="shared" si="28"/>
        <v>0</v>
      </c>
      <c r="J93" s="225"/>
    </row>
    <row r="94" spans="1:13" hidden="1" x14ac:dyDescent="0.3">
      <c r="A94" s="67"/>
      <c r="B94" s="409" t="str">
        <f t="shared" si="33"/>
        <v>At-Risk Weight</v>
      </c>
      <c r="C94" s="153">
        <f t="shared" si="33"/>
        <v>0</v>
      </c>
      <c r="D94" s="143">
        <f t="shared" si="33"/>
        <v>64062.780300000006</v>
      </c>
      <c r="E94" s="143">
        <f t="shared" si="33"/>
        <v>0</v>
      </c>
      <c r="F94" s="143">
        <f t="shared" si="33"/>
        <v>0</v>
      </c>
      <c r="G94" s="143">
        <f t="shared" si="32"/>
        <v>0</v>
      </c>
      <c r="H94" s="143">
        <f t="shared" si="31"/>
        <v>0</v>
      </c>
      <c r="I94" s="143">
        <f t="shared" si="28"/>
        <v>64062.780300000006</v>
      </c>
      <c r="J94" s="225"/>
    </row>
    <row r="95" spans="1:13" hidden="1" x14ac:dyDescent="0.3">
      <c r="A95" s="67"/>
      <c r="B95" s="409" t="str">
        <f t="shared" si="33"/>
        <v>OTHER: Charter School Program (CSP) Grant</v>
      </c>
      <c r="C95" s="153">
        <f t="shared" si="33"/>
        <v>0</v>
      </c>
      <c r="D95" s="143">
        <f t="shared" si="33"/>
        <v>0</v>
      </c>
      <c r="E95" s="143">
        <f t="shared" si="33"/>
        <v>0</v>
      </c>
      <c r="F95" s="143">
        <f t="shared" si="33"/>
        <v>0</v>
      </c>
      <c r="G95" s="143">
        <f t="shared" si="32"/>
        <v>0</v>
      </c>
      <c r="H95" s="143">
        <f t="shared" si="31"/>
        <v>0</v>
      </c>
      <c r="I95" s="143">
        <f t="shared" si="28"/>
        <v>0</v>
      </c>
      <c r="J95" s="225"/>
    </row>
    <row r="96" spans="1:13" hidden="1" x14ac:dyDescent="0.3">
      <c r="A96" s="67"/>
      <c r="B96" s="409" t="str">
        <f t="shared" si="33"/>
        <v>OTHER: Donation (Sands Corporation)</v>
      </c>
      <c r="C96" s="153">
        <f t="shared" si="33"/>
        <v>0</v>
      </c>
      <c r="D96" s="143">
        <f t="shared" si="33"/>
        <v>0</v>
      </c>
      <c r="E96" s="143">
        <f t="shared" si="33"/>
        <v>0</v>
      </c>
      <c r="F96" s="143">
        <f t="shared" si="33"/>
        <v>0</v>
      </c>
      <c r="G96" s="143">
        <f t="shared" si="32"/>
        <v>0</v>
      </c>
      <c r="H96" s="143">
        <f t="shared" si="31"/>
        <v>0</v>
      </c>
      <c r="I96" s="143">
        <f t="shared" si="28"/>
        <v>0</v>
      </c>
      <c r="J96" s="225"/>
    </row>
    <row r="97" spans="1:15" hidden="1" x14ac:dyDescent="0.3">
      <c r="A97" s="67"/>
      <c r="B97" s="409" t="str">
        <f t="shared" si="33"/>
        <v>OTHER: Tenant Improvements Donation</v>
      </c>
      <c r="C97" s="153">
        <f t="shared" si="33"/>
        <v>0</v>
      </c>
      <c r="D97" s="143">
        <f t="shared" si="33"/>
        <v>0</v>
      </c>
      <c r="E97" s="143">
        <f t="shared" si="33"/>
        <v>0</v>
      </c>
      <c r="F97" s="143">
        <f t="shared" si="33"/>
        <v>0</v>
      </c>
      <c r="G97" s="143">
        <f t="shared" si="32"/>
        <v>0</v>
      </c>
      <c r="H97" s="143">
        <f t="shared" si="31"/>
        <v>0</v>
      </c>
      <c r="I97" s="143">
        <f t="shared" si="28"/>
        <v>0</v>
      </c>
      <c r="J97" s="225"/>
    </row>
    <row r="98" spans="1:15" hidden="1" x14ac:dyDescent="0.3">
      <c r="A98" s="67"/>
      <c r="B98" s="132" t="s">
        <v>54</v>
      </c>
      <c r="C98" s="158">
        <f t="shared" ref="C98:I98" si="34">SUM(C86:C97)</f>
        <v>4093916.9501032876</v>
      </c>
      <c r="D98" s="158">
        <f t="shared" si="34"/>
        <v>218662.89030000003</v>
      </c>
      <c r="E98" s="158">
        <f t="shared" si="34"/>
        <v>200070</v>
      </c>
      <c r="F98" s="158">
        <f t="shared" si="34"/>
        <v>446381.28</v>
      </c>
      <c r="G98" s="158">
        <f t="shared" si="34"/>
        <v>167184</v>
      </c>
      <c r="H98" s="158">
        <f t="shared" si="34"/>
        <v>38250</v>
      </c>
      <c r="I98" s="158">
        <f t="shared" si="34"/>
        <v>5164465.1204032879</v>
      </c>
      <c r="J98" s="225"/>
    </row>
    <row r="99" spans="1:15" s="62" customFormat="1" x14ac:dyDescent="0.3">
      <c r="A99" s="57"/>
      <c r="C99" s="154"/>
      <c r="D99" s="154"/>
      <c r="E99" s="154"/>
      <c r="F99" s="154"/>
      <c r="G99" s="154"/>
      <c r="H99" s="154"/>
      <c r="I99" s="154"/>
      <c r="J99" s="225"/>
    </row>
    <row r="100" spans="1:15" s="62" customFormat="1" ht="15" thickBot="1" x14ac:dyDescent="0.35">
      <c r="A100" s="57"/>
      <c r="B100" s="510" t="s">
        <v>55</v>
      </c>
      <c r="C100" s="511" t="str">
        <f>C1</f>
        <v>Operating</v>
      </c>
      <c r="D100" s="511" t="str">
        <f t="shared" ref="D100:I100" si="35">D1</f>
        <v>Weights</v>
      </c>
      <c r="E100" s="511" t="str">
        <f t="shared" si="35"/>
        <v>SPED</v>
      </c>
      <c r="F100" s="511" t="str">
        <f t="shared" si="35"/>
        <v>NSLP</v>
      </c>
      <c r="G100" s="511" t="str">
        <f t="shared" si="35"/>
        <v>Title 1</v>
      </c>
      <c r="H100" s="511" t="str">
        <f t="shared" si="35"/>
        <v>Title 2</v>
      </c>
      <c r="I100" s="511" t="str">
        <f t="shared" si="35"/>
        <v>Total</v>
      </c>
      <c r="J100" s="225"/>
    </row>
    <row r="101" spans="1:15" x14ac:dyDescent="0.3">
      <c r="A101" s="70"/>
      <c r="B101" s="133" t="s">
        <v>56</v>
      </c>
      <c r="C101" s="150"/>
      <c r="D101" s="150"/>
      <c r="E101" s="150"/>
      <c r="F101" s="150"/>
      <c r="G101" s="150"/>
      <c r="H101" s="150"/>
      <c r="I101" s="150"/>
      <c r="J101" s="230"/>
    </row>
    <row r="102" spans="1:15" x14ac:dyDescent="0.3">
      <c r="A102" s="67">
        <v>104</v>
      </c>
      <c r="B102" s="71" t="s">
        <v>30</v>
      </c>
      <c r="C102" s="145">
        <f>'24-25'!C102*1.02</f>
        <v>106120.8</v>
      </c>
      <c r="D102" s="145"/>
      <c r="E102" s="143"/>
      <c r="F102" s="143"/>
      <c r="G102" s="143"/>
      <c r="H102" s="143"/>
      <c r="I102" s="143">
        <f t="shared" ref="I102:I114" si="36">SUM(C102:H102)</f>
        <v>106120.8</v>
      </c>
      <c r="J102" s="225"/>
    </row>
    <row r="103" spans="1:15" x14ac:dyDescent="0.3">
      <c r="A103" s="67">
        <v>104</v>
      </c>
      <c r="B103" s="71" t="s">
        <v>57</v>
      </c>
      <c r="C103" s="145">
        <f>'24-25'!C103*1.02</f>
        <v>76500</v>
      </c>
      <c r="D103" s="145"/>
      <c r="E103" s="143"/>
      <c r="F103" s="143"/>
      <c r="G103" s="143"/>
      <c r="H103" s="143"/>
      <c r="I103" s="143">
        <f t="shared" si="36"/>
        <v>76500</v>
      </c>
      <c r="J103" s="225"/>
    </row>
    <row r="104" spans="1:15" x14ac:dyDescent="0.3">
      <c r="A104" s="67">
        <v>105</v>
      </c>
      <c r="B104" s="71" t="s">
        <v>415</v>
      </c>
      <c r="C104" s="145">
        <f>'24-25'!C104*1.02</f>
        <v>0</v>
      </c>
      <c r="D104" s="145">
        <v>58000</v>
      </c>
      <c r="E104" s="143"/>
      <c r="F104" s="143"/>
      <c r="G104" s="143"/>
      <c r="H104" s="143"/>
      <c r="I104" s="143">
        <f t="shared" si="36"/>
        <v>58000</v>
      </c>
      <c r="J104" s="225"/>
    </row>
    <row r="105" spans="1:15" x14ac:dyDescent="0.3">
      <c r="A105" s="67">
        <v>105</v>
      </c>
      <c r="B105" s="470" t="s">
        <v>417</v>
      </c>
      <c r="C105" s="145">
        <f>'24-25'!C105*1.02</f>
        <v>0</v>
      </c>
      <c r="D105" s="145">
        <f>'24-25'!D105*1.02</f>
        <v>52020</v>
      </c>
      <c r="E105" s="145">
        <f>'24-25'!E105*1.02</f>
        <v>0</v>
      </c>
      <c r="F105" s="145">
        <f>'24-25'!F105*1.02</f>
        <v>0</v>
      </c>
      <c r="G105" s="145">
        <f>'24-25'!G105*1.02</f>
        <v>0</v>
      </c>
      <c r="H105" s="143"/>
      <c r="I105" s="143">
        <f t="shared" si="36"/>
        <v>52020</v>
      </c>
      <c r="J105" s="225"/>
    </row>
    <row r="106" spans="1:15" x14ac:dyDescent="0.3">
      <c r="A106" s="67">
        <v>105</v>
      </c>
      <c r="B106" s="471" t="s">
        <v>413</v>
      </c>
      <c r="C106" s="145">
        <f>'24-25'!C106*1.02</f>
        <v>0</v>
      </c>
      <c r="D106" s="145">
        <f>'24-25'!D106*1.02</f>
        <v>67626</v>
      </c>
      <c r="E106" s="145">
        <f>'24-25'!E106*1.02</f>
        <v>0</v>
      </c>
      <c r="F106" s="145">
        <f>'24-25'!F106*1.02</f>
        <v>0</v>
      </c>
      <c r="G106" s="145">
        <f>'24-25'!G106*1.02</f>
        <v>0</v>
      </c>
      <c r="H106" s="143"/>
      <c r="I106" s="143">
        <f t="shared" si="36"/>
        <v>67626</v>
      </c>
      <c r="J106" s="225"/>
    </row>
    <row r="107" spans="1:15" x14ac:dyDescent="0.3">
      <c r="A107" s="67">
        <v>105</v>
      </c>
      <c r="B107" s="71" t="s">
        <v>425</v>
      </c>
      <c r="C107" s="145">
        <f>'24-25'!C107*1.02</f>
        <v>0</v>
      </c>
      <c r="D107" s="145">
        <f>'24-25'!D107*1.02</f>
        <v>0</v>
      </c>
      <c r="E107" s="145">
        <f>'24-25'!E107*1.02</f>
        <v>0</v>
      </c>
      <c r="F107" s="145">
        <f>'24-25'!F107*1.02</f>
        <v>0</v>
      </c>
      <c r="G107" s="145">
        <f>'24-25'!G107*1.02</f>
        <v>59670</v>
      </c>
      <c r="H107" s="143"/>
      <c r="I107" s="143">
        <f t="shared" si="36"/>
        <v>59670</v>
      </c>
      <c r="J107" s="225"/>
      <c r="N107" s="250"/>
      <c r="O107" s="250"/>
    </row>
    <row r="108" spans="1:15" x14ac:dyDescent="0.3">
      <c r="A108" s="67" t="s">
        <v>58</v>
      </c>
      <c r="B108" s="71" t="s">
        <v>59</v>
      </c>
      <c r="C108" s="143">
        <f>(53000)*(C37-C30)</f>
        <v>1139500</v>
      </c>
      <c r="D108" s="143"/>
      <c r="E108" s="143"/>
      <c r="F108" s="143"/>
      <c r="G108" s="143"/>
      <c r="H108" s="143"/>
      <c r="I108" s="143">
        <f t="shared" si="36"/>
        <v>1139500</v>
      </c>
      <c r="J108" s="226"/>
      <c r="K108" s="221">
        <v>52000</v>
      </c>
      <c r="L108" s="221">
        <f>K108*1.02</f>
        <v>53040</v>
      </c>
      <c r="M108" s="221"/>
      <c r="N108" s="221"/>
      <c r="O108" s="221"/>
    </row>
    <row r="109" spans="1:15" x14ac:dyDescent="0.3">
      <c r="A109" s="67">
        <v>101</v>
      </c>
      <c r="B109" s="71" t="s">
        <v>20</v>
      </c>
      <c r="C109" s="143">
        <f>(42500+750+750+750)*C30</f>
        <v>0</v>
      </c>
      <c r="D109" s="143">
        <f t="shared" ref="D109" si="37">(42500+750+750+750)*D30</f>
        <v>0</v>
      </c>
      <c r="E109" s="143">
        <f>(53000)*E30</f>
        <v>159000</v>
      </c>
      <c r="F109" s="143">
        <f t="shared" ref="F109:G109" si="38">42500*F30</f>
        <v>0</v>
      </c>
      <c r="G109" s="143">
        <f t="shared" si="38"/>
        <v>0</v>
      </c>
      <c r="H109" s="143"/>
      <c r="I109" s="143">
        <f t="shared" si="36"/>
        <v>159000</v>
      </c>
      <c r="J109" s="226"/>
      <c r="K109" s="364"/>
      <c r="L109" s="364"/>
      <c r="M109" s="364"/>
      <c r="N109" s="364"/>
      <c r="O109" s="364"/>
    </row>
    <row r="110" spans="1:15" x14ac:dyDescent="0.3">
      <c r="A110" s="67">
        <v>107</v>
      </c>
      <c r="B110" s="71" t="s">
        <v>60</v>
      </c>
      <c r="C110" s="143">
        <f>'24-25'!C110*1.015+21000</f>
        <v>66408.258000000002</v>
      </c>
      <c r="D110" s="143"/>
      <c r="E110" s="143"/>
      <c r="F110" s="143"/>
      <c r="G110" s="143"/>
      <c r="H110" s="143"/>
      <c r="I110" s="143">
        <f t="shared" si="36"/>
        <v>66408.258000000002</v>
      </c>
      <c r="J110" s="168"/>
    </row>
    <row r="111" spans="1:15" x14ac:dyDescent="0.3">
      <c r="A111" s="67">
        <v>107</v>
      </c>
      <c r="B111" s="71" t="s">
        <v>61</v>
      </c>
      <c r="C111" s="143">
        <f>(14.75*8*190)*(C48+C49)</f>
        <v>44840</v>
      </c>
      <c r="D111" s="143">
        <f t="shared" ref="D111:F111" si="39">(13.75*8*190)*(D48+D49)</f>
        <v>0</v>
      </c>
      <c r="E111" s="143">
        <f t="shared" si="39"/>
        <v>0</v>
      </c>
      <c r="F111" s="143">
        <f t="shared" si="39"/>
        <v>0</v>
      </c>
      <c r="G111" s="143"/>
      <c r="H111" s="143"/>
      <c r="I111" s="143">
        <f t="shared" si="36"/>
        <v>44840</v>
      </c>
      <c r="J111" s="226"/>
      <c r="L111" s="221"/>
      <c r="M111" s="221"/>
      <c r="N111" s="221"/>
      <c r="O111" s="221"/>
    </row>
    <row r="112" spans="1:15" x14ac:dyDescent="0.3">
      <c r="A112" s="67">
        <v>102</v>
      </c>
      <c r="B112" s="71" t="s">
        <v>426</v>
      </c>
      <c r="C112" s="143">
        <f>(14.75*8*180)*C50</f>
        <v>0</v>
      </c>
      <c r="D112" s="143">
        <f>(14.75*8*180)*D50</f>
        <v>0</v>
      </c>
      <c r="E112" s="143">
        <f>(14.75*8*180)*E50</f>
        <v>21240</v>
      </c>
      <c r="F112" s="143">
        <f>(14.75*8*180)*F50</f>
        <v>0</v>
      </c>
      <c r="G112" s="143">
        <f>(14.75*8*180)*G50</f>
        <v>63720</v>
      </c>
      <c r="H112" s="143"/>
      <c r="I112" s="143">
        <f t="shared" si="36"/>
        <v>84960</v>
      </c>
      <c r="J112" s="226"/>
    </row>
    <row r="113" spans="1:15" x14ac:dyDescent="0.3">
      <c r="A113" s="67">
        <v>107</v>
      </c>
      <c r="B113" s="410" t="s">
        <v>457</v>
      </c>
      <c r="C113" s="143">
        <f>(16*8*240)*C51</f>
        <v>30720</v>
      </c>
      <c r="D113" s="143"/>
      <c r="E113" s="143"/>
      <c r="F113" s="143"/>
      <c r="G113" s="143"/>
      <c r="H113" s="143"/>
      <c r="I113" s="143">
        <f t="shared" si="36"/>
        <v>30720</v>
      </c>
      <c r="J113" s="226"/>
    </row>
    <row r="114" spans="1:15" x14ac:dyDescent="0.3">
      <c r="A114" s="67">
        <v>107</v>
      </c>
      <c r="B114" s="71" t="s">
        <v>64</v>
      </c>
      <c r="C114" s="143"/>
      <c r="D114" s="143"/>
      <c r="E114" s="143"/>
      <c r="F114" s="143"/>
      <c r="G114" s="143"/>
      <c r="H114" s="143"/>
      <c r="I114" s="143">
        <f t="shared" si="36"/>
        <v>0</v>
      </c>
      <c r="J114" s="226"/>
    </row>
    <row r="115" spans="1:15" ht="15" thickBot="1" x14ac:dyDescent="0.35">
      <c r="A115" s="63"/>
      <c r="B115" s="516" t="s">
        <v>443</v>
      </c>
      <c r="C115" s="517">
        <f>SUM(C102:C114)</f>
        <v>1464089.058</v>
      </c>
      <c r="D115" s="517">
        <f t="shared" ref="D115:I115" si="40">SUM(D102:D114)</f>
        <v>177646</v>
      </c>
      <c r="E115" s="517">
        <f t="shared" si="40"/>
        <v>180240</v>
      </c>
      <c r="F115" s="517">
        <f t="shared" si="40"/>
        <v>0</v>
      </c>
      <c r="G115" s="517">
        <f t="shared" si="40"/>
        <v>123390</v>
      </c>
      <c r="H115" s="517">
        <f t="shared" si="40"/>
        <v>0</v>
      </c>
      <c r="I115" s="517">
        <f t="shared" si="40"/>
        <v>1945365.058</v>
      </c>
      <c r="J115" s="236"/>
    </row>
    <row r="116" spans="1:15" x14ac:dyDescent="0.3">
      <c r="A116" s="70"/>
      <c r="B116" s="135" t="s">
        <v>66</v>
      </c>
      <c r="C116" s="150" t="str">
        <f t="shared" ref="C116:I116" si="41">C1</f>
        <v>Operating</v>
      </c>
      <c r="D116" s="150" t="str">
        <f t="shared" si="41"/>
        <v>Weights</v>
      </c>
      <c r="E116" s="150" t="str">
        <f t="shared" si="41"/>
        <v>SPED</v>
      </c>
      <c r="F116" s="150" t="str">
        <f t="shared" si="41"/>
        <v>NSLP</v>
      </c>
      <c r="G116" s="150" t="str">
        <f t="shared" si="41"/>
        <v>Title 1</v>
      </c>
      <c r="H116" s="150" t="str">
        <f t="shared" si="41"/>
        <v>Title 2</v>
      </c>
      <c r="I116" s="150" t="str">
        <f t="shared" si="41"/>
        <v>Total</v>
      </c>
      <c r="J116" s="230"/>
    </row>
    <row r="117" spans="1:15" hidden="1" x14ac:dyDescent="0.3">
      <c r="A117" s="67"/>
      <c r="B117" s="71" t="s">
        <v>67</v>
      </c>
      <c r="C117" s="143"/>
      <c r="D117" s="143"/>
      <c r="E117" s="143"/>
      <c r="F117" s="143"/>
      <c r="G117" s="143"/>
      <c r="H117" s="143"/>
      <c r="I117" s="147">
        <f t="shared" ref="I117:I123" si="42">SUM(C117:H117)</f>
        <v>0</v>
      </c>
      <c r="J117" s="225"/>
    </row>
    <row r="118" spans="1:15" x14ac:dyDescent="0.3">
      <c r="A118" s="67"/>
      <c r="B118" s="71" t="s">
        <v>37</v>
      </c>
      <c r="C118" s="143"/>
      <c r="D118" s="143"/>
      <c r="E118" s="143"/>
      <c r="F118" s="143"/>
      <c r="G118" s="143"/>
      <c r="H118" s="143"/>
      <c r="I118" s="147">
        <f t="shared" si="42"/>
        <v>0</v>
      </c>
      <c r="J118" s="225"/>
    </row>
    <row r="119" spans="1:15" x14ac:dyDescent="0.3">
      <c r="A119" s="67"/>
      <c r="B119" s="71" t="s">
        <v>38</v>
      </c>
      <c r="C119" s="143"/>
      <c r="D119" s="143"/>
      <c r="E119" s="143"/>
      <c r="F119" s="143"/>
      <c r="G119" s="143"/>
      <c r="H119" s="143"/>
      <c r="I119" s="147">
        <f t="shared" si="42"/>
        <v>0</v>
      </c>
      <c r="J119" s="225"/>
    </row>
    <row r="120" spans="1:15" x14ac:dyDescent="0.3">
      <c r="A120" s="67"/>
      <c r="B120" s="71" t="s">
        <v>39</v>
      </c>
      <c r="C120" s="143"/>
      <c r="D120" s="143"/>
      <c r="E120" s="143"/>
      <c r="F120" s="143"/>
      <c r="G120" s="143"/>
      <c r="H120" s="143"/>
      <c r="I120" s="147">
        <f t="shared" si="42"/>
        <v>0</v>
      </c>
      <c r="J120" s="225"/>
    </row>
    <row r="121" spans="1:15" x14ac:dyDescent="0.3">
      <c r="A121" s="67"/>
      <c r="B121" s="71" t="s">
        <v>40</v>
      </c>
      <c r="C121" s="143"/>
      <c r="D121" s="143"/>
      <c r="E121" s="143"/>
      <c r="F121" s="143"/>
      <c r="G121" s="143"/>
      <c r="H121" s="143"/>
      <c r="I121" s="147">
        <f t="shared" si="42"/>
        <v>0</v>
      </c>
      <c r="J121" s="225"/>
    </row>
    <row r="122" spans="1:15" x14ac:dyDescent="0.3">
      <c r="A122" s="67"/>
      <c r="B122" s="71" t="s">
        <v>68</v>
      </c>
      <c r="C122" s="143"/>
      <c r="D122" s="143"/>
      <c r="E122" s="143"/>
      <c r="F122" s="143"/>
      <c r="G122" s="143"/>
      <c r="H122" s="143"/>
      <c r="I122" s="147">
        <f t="shared" si="42"/>
        <v>0</v>
      </c>
      <c r="J122" s="225"/>
    </row>
    <row r="123" spans="1:15" x14ac:dyDescent="0.3">
      <c r="A123" s="67"/>
      <c r="B123" s="71" t="s">
        <v>50</v>
      </c>
      <c r="C123" s="143">
        <v>0</v>
      </c>
      <c r="D123" s="143"/>
      <c r="E123" s="143"/>
      <c r="F123" s="143"/>
      <c r="G123" s="143"/>
      <c r="H123" s="143"/>
      <c r="I123" s="147">
        <f t="shared" si="42"/>
        <v>0</v>
      </c>
      <c r="J123" s="225"/>
    </row>
    <row r="124" spans="1:15" x14ac:dyDescent="0.3">
      <c r="A124" s="67"/>
      <c r="B124" s="410" t="s">
        <v>173</v>
      </c>
      <c r="C124" s="143"/>
      <c r="D124" s="143"/>
      <c r="E124" s="143"/>
      <c r="F124" s="143"/>
      <c r="G124" s="143"/>
      <c r="H124" s="143"/>
      <c r="I124" s="147"/>
      <c r="J124" s="225"/>
    </row>
    <row r="125" spans="1:15" x14ac:dyDescent="0.3">
      <c r="A125" s="67">
        <v>107</v>
      </c>
      <c r="B125" s="71" t="s">
        <v>69</v>
      </c>
      <c r="C125" s="145">
        <f>(13.25*8*185)*C52</f>
        <v>0</v>
      </c>
      <c r="D125" s="145">
        <f t="shared" ref="D125:E125" si="43">(13.25*8*185)*D52</f>
        <v>0</v>
      </c>
      <c r="E125" s="145">
        <f t="shared" si="43"/>
        <v>0</v>
      </c>
      <c r="F125" s="145">
        <f>(14.75*8*185)*F52</f>
        <v>21830</v>
      </c>
      <c r="G125" s="143"/>
      <c r="H125" s="143"/>
      <c r="I125" s="143">
        <f>SUM(C125:H125)</f>
        <v>21830</v>
      </c>
      <c r="J125" s="225"/>
    </row>
    <row r="126" spans="1:15" x14ac:dyDescent="0.3">
      <c r="A126" s="74"/>
      <c r="B126" s="71" t="s">
        <v>70</v>
      </c>
      <c r="C126" s="153">
        <v>0</v>
      </c>
      <c r="D126" s="143"/>
      <c r="E126" s="143"/>
      <c r="F126" s="143"/>
      <c r="G126" s="143"/>
      <c r="H126" s="143"/>
      <c r="I126" s="147">
        <f>SUM(C126:H126)</f>
        <v>0</v>
      </c>
      <c r="J126" s="225"/>
    </row>
    <row r="127" spans="1:15" ht="15" thickBot="1" x14ac:dyDescent="0.35">
      <c r="A127" s="63"/>
      <c r="B127" s="520" t="s">
        <v>444</v>
      </c>
      <c r="C127" s="519">
        <f>SUM(C117:C126)</f>
        <v>0</v>
      </c>
      <c r="D127" s="519">
        <f t="shared" ref="D127:I127" si="44">SUM(D117:D126)</f>
        <v>0</v>
      </c>
      <c r="E127" s="519">
        <f t="shared" si="44"/>
        <v>0</v>
      </c>
      <c r="F127" s="519">
        <f t="shared" si="44"/>
        <v>21830</v>
      </c>
      <c r="G127" s="519">
        <f t="shared" si="44"/>
        <v>0</v>
      </c>
      <c r="H127" s="519">
        <f t="shared" si="44"/>
        <v>0</v>
      </c>
      <c r="I127" s="519">
        <f t="shared" si="44"/>
        <v>21830</v>
      </c>
      <c r="J127" s="236"/>
    </row>
    <row r="128" spans="1:15" ht="15" thickBot="1" x14ac:dyDescent="0.35">
      <c r="A128" s="91"/>
      <c r="B128" s="521" t="s">
        <v>445</v>
      </c>
      <c r="C128" s="483">
        <f>C115+C127</f>
        <v>1464089.058</v>
      </c>
      <c r="D128" s="483">
        <f t="shared" ref="D128:I128" si="45">D115+D127</f>
        <v>177646</v>
      </c>
      <c r="E128" s="483">
        <f t="shared" si="45"/>
        <v>180240</v>
      </c>
      <c r="F128" s="483">
        <f t="shared" si="45"/>
        <v>21830</v>
      </c>
      <c r="G128" s="483">
        <f t="shared" si="45"/>
        <v>123390</v>
      </c>
      <c r="H128" s="483">
        <f t="shared" si="45"/>
        <v>0</v>
      </c>
      <c r="I128" s="483">
        <f t="shared" si="45"/>
        <v>1967195.058</v>
      </c>
      <c r="J128" s="225"/>
      <c r="K128" s="223">
        <f t="shared" ref="K128:O128" si="46">SUM(K129:K130)</f>
        <v>0.47249999999999998</v>
      </c>
      <c r="L128" s="223">
        <f t="shared" si="46"/>
        <v>0.47749999999999998</v>
      </c>
      <c r="M128" s="223">
        <f t="shared" si="46"/>
        <v>0.48249999999999998</v>
      </c>
      <c r="N128" s="223">
        <f t="shared" si="46"/>
        <v>0.48749999999999999</v>
      </c>
      <c r="O128" s="223">
        <f t="shared" si="46"/>
        <v>0.49249999999999999</v>
      </c>
    </row>
    <row r="129" spans="1:15" x14ac:dyDescent="0.3">
      <c r="A129" s="78">
        <v>230</v>
      </c>
      <c r="B129" s="71" t="s">
        <v>340</v>
      </c>
      <c r="C129" s="157">
        <f t="shared" ref="C129:H129" si="47">C128*0.2975</f>
        <v>435566.49475499999</v>
      </c>
      <c r="D129" s="157">
        <f t="shared" si="47"/>
        <v>52849.684999999998</v>
      </c>
      <c r="E129" s="157">
        <f t="shared" si="47"/>
        <v>53621.399999999994</v>
      </c>
      <c r="F129" s="157">
        <f t="shared" si="47"/>
        <v>6494.4249999999993</v>
      </c>
      <c r="G129" s="157">
        <f t="shared" si="47"/>
        <v>36708.525000000001</v>
      </c>
      <c r="H129" s="157">
        <f t="shared" si="47"/>
        <v>0</v>
      </c>
      <c r="I129" s="143">
        <f t="shared" ref="I129:I134" si="48">SUM(C129:H129)</f>
        <v>585240.52975500003</v>
      </c>
      <c r="J129" s="225"/>
      <c r="K129" s="223">
        <v>0.29249999999999998</v>
      </c>
      <c r="L129" s="223">
        <f>K129</f>
        <v>0.29249999999999998</v>
      </c>
      <c r="M129" s="223">
        <f>L129</f>
        <v>0.29249999999999998</v>
      </c>
      <c r="N129" s="223">
        <f>M129</f>
        <v>0.29249999999999998</v>
      </c>
      <c r="O129" s="223">
        <f>N129</f>
        <v>0.29249999999999998</v>
      </c>
    </row>
    <row r="130" spans="1:15" x14ac:dyDescent="0.3">
      <c r="A130" s="94"/>
      <c r="B130" s="71" t="s">
        <v>73</v>
      </c>
      <c r="C130" s="143">
        <f>C128*0.195</f>
        <v>285497.36631000001</v>
      </c>
      <c r="D130" s="143">
        <f t="shared" ref="D130:F130" si="49">D128*0.195</f>
        <v>34640.97</v>
      </c>
      <c r="E130" s="143">
        <f t="shared" si="49"/>
        <v>35146.800000000003</v>
      </c>
      <c r="F130" s="143">
        <f t="shared" si="49"/>
        <v>4256.8500000000004</v>
      </c>
      <c r="G130" s="143">
        <f>G128*0.15</f>
        <v>18508.5</v>
      </c>
      <c r="H130" s="143">
        <f t="shared" ref="H130" si="50">H128*0.195</f>
        <v>0</v>
      </c>
      <c r="I130" s="143">
        <f t="shared" si="48"/>
        <v>378050.48631000001</v>
      </c>
      <c r="J130" s="225"/>
      <c r="K130" s="223">
        <v>0.18</v>
      </c>
      <c r="L130" s="223">
        <f>K130+0.5%</f>
        <v>0.185</v>
      </c>
      <c r="M130" s="223">
        <f>L130+0.5%</f>
        <v>0.19</v>
      </c>
      <c r="N130" s="223">
        <f>M130+0.5%</f>
        <v>0.19500000000000001</v>
      </c>
      <c r="O130" s="223">
        <f>N130+0.5%</f>
        <v>0.2</v>
      </c>
    </row>
    <row r="131" spans="1:15" x14ac:dyDescent="0.3">
      <c r="A131" s="67">
        <v>150</v>
      </c>
      <c r="B131" s="71" t="s">
        <v>74</v>
      </c>
      <c r="C131" s="142">
        <f>((((2500*C41)+(125*C41))+((2000*C42)+(125*C42))+((1500*(C43+C44+C45))+(125*(C43+C44+C45)))+(1000*(C46+C47))+(125*(C46+C47))+((300*(C48+C49+C50+C51+C52)+(125*(C48+C49+C50+C51+C52)))+((1000*(C37+C53+C54+C55+C56+C58))+(125*(C37+C53+C54+C55+C56+C58))))+(125*3)+(1000*3))*0.93)-C132</f>
        <v>34317</v>
      </c>
      <c r="D131" s="142">
        <f t="shared" ref="D131:H131" si="51">((((2500*D41)+(125*D41))+((2000*D42)+(125*D42))+((1500*(D43+D44+D45))+(125*(D43+D44+D45)))+(1000*(D46+D47))+(125*(D46+D47))+((300*(D48+D49+D50+D51+D52)+(125*(D48+D49+D50+D51+D52)))+((1000*(D37+D53+D54+D55+D56+D58))+(125*(D37+D53+D54+D55+D56+D58))))+(125*3)+(1000*3))*0.93)-D132</f>
        <v>5696.25</v>
      </c>
      <c r="E131" s="142">
        <f>((((2500*E41)+(125*E41))+((2000*E42)+(125*E42))+((1500*(E43+E44+E45))+(125*(E43+E44+E45)))+(1000*(E46+E47))+(125*(E46+E47))+((300*(E48+E49+E50+E51+E52)+(125*(E48+E49+E50+E51+E52)))+((1000*(E37+E53+E54+E55+E56+E58))+(125*(E37+E53+E54+E55+E56+E58))))+(125*3)+(1000*3))*0.93)-E132</f>
        <v>6672.75</v>
      </c>
      <c r="F131" s="142">
        <f t="shared" si="51"/>
        <v>3534</v>
      </c>
      <c r="G131" s="142">
        <v>0</v>
      </c>
      <c r="H131" s="142">
        <f t="shared" si="51"/>
        <v>3138.75</v>
      </c>
      <c r="I131" s="143">
        <f t="shared" si="48"/>
        <v>53358.75</v>
      </c>
      <c r="J131" s="225"/>
    </row>
    <row r="132" spans="1:15" x14ac:dyDescent="0.3">
      <c r="A132" s="67"/>
      <c r="B132" s="71" t="s">
        <v>75</v>
      </c>
      <c r="C132" s="143">
        <v>0</v>
      </c>
      <c r="D132" s="145"/>
      <c r="E132" s="145"/>
      <c r="F132" s="145"/>
      <c r="G132" s="145"/>
      <c r="H132" s="145"/>
      <c r="I132" s="143">
        <f t="shared" si="48"/>
        <v>0</v>
      </c>
      <c r="J132" s="225"/>
    </row>
    <row r="133" spans="1:15" x14ac:dyDescent="0.3">
      <c r="A133" s="67">
        <v>250</v>
      </c>
      <c r="B133" s="71" t="s">
        <v>76</v>
      </c>
      <c r="C133" s="145">
        <f>1800*3</f>
        <v>5400</v>
      </c>
      <c r="D133" s="145"/>
      <c r="E133" s="145"/>
      <c r="F133" s="145"/>
      <c r="G133" s="145"/>
      <c r="H133" s="145"/>
      <c r="I133" s="143">
        <f t="shared" si="48"/>
        <v>5400</v>
      </c>
      <c r="J133" s="225"/>
    </row>
    <row r="134" spans="1:15" ht="15" thickBot="1" x14ac:dyDescent="0.35">
      <c r="A134" s="74"/>
      <c r="B134" s="71" t="s">
        <v>77</v>
      </c>
      <c r="C134" s="153">
        <f>(175*10*C37)-C126</f>
        <v>37625</v>
      </c>
      <c r="D134" s="153">
        <f t="shared" ref="D134:H134" si="52">(175*10*D37)-D126</f>
        <v>0</v>
      </c>
      <c r="E134" s="153">
        <f t="shared" si="52"/>
        <v>5250</v>
      </c>
      <c r="F134" s="153">
        <f t="shared" si="52"/>
        <v>0</v>
      </c>
      <c r="G134" s="153">
        <f t="shared" si="52"/>
        <v>0</v>
      </c>
      <c r="H134" s="153">
        <f t="shared" si="52"/>
        <v>0</v>
      </c>
      <c r="I134" s="143">
        <f t="shared" si="48"/>
        <v>42875</v>
      </c>
      <c r="J134" s="225"/>
    </row>
    <row r="135" spans="1:15" ht="15" thickBot="1" x14ac:dyDescent="0.35">
      <c r="A135" s="95"/>
      <c r="B135" s="522" t="s">
        <v>446</v>
      </c>
      <c r="C135" s="523">
        <f>SUM(C129:C134)</f>
        <v>798405.86106500006</v>
      </c>
      <c r="D135" s="523">
        <f t="shared" ref="D135:I135" si="53">SUM(D129:D134)</f>
        <v>93186.904999999999</v>
      </c>
      <c r="E135" s="523">
        <f t="shared" si="53"/>
        <v>100690.95</v>
      </c>
      <c r="F135" s="523">
        <f t="shared" si="53"/>
        <v>14285.275</v>
      </c>
      <c r="G135" s="523">
        <f t="shared" si="53"/>
        <v>55217.025000000001</v>
      </c>
      <c r="H135" s="523">
        <f t="shared" si="53"/>
        <v>3138.75</v>
      </c>
      <c r="I135" s="523">
        <f t="shared" si="53"/>
        <v>1064924.7660650001</v>
      </c>
      <c r="J135" s="225"/>
    </row>
    <row r="136" spans="1:15" ht="15" thickBot="1" x14ac:dyDescent="0.35">
      <c r="A136" s="482"/>
      <c r="B136" s="524" t="s">
        <v>78</v>
      </c>
      <c r="C136" s="483">
        <f>C128+C135</f>
        <v>2262494.919065</v>
      </c>
      <c r="D136" s="483">
        <f t="shared" ref="D136:I136" si="54">D128+D135</f>
        <v>270832.90500000003</v>
      </c>
      <c r="E136" s="483">
        <f t="shared" si="54"/>
        <v>280930.95</v>
      </c>
      <c r="F136" s="483">
        <f t="shared" si="54"/>
        <v>36115.275000000001</v>
      </c>
      <c r="G136" s="483">
        <f t="shared" si="54"/>
        <v>178607.02499999999</v>
      </c>
      <c r="H136" s="483">
        <f t="shared" si="54"/>
        <v>3138.75</v>
      </c>
      <c r="I136" s="483">
        <f t="shared" si="54"/>
        <v>3032119.8240649998</v>
      </c>
      <c r="J136" s="225"/>
    </row>
    <row r="137" spans="1:15" x14ac:dyDescent="0.3">
      <c r="A137" s="98"/>
      <c r="B137" s="99" t="s">
        <v>79</v>
      </c>
      <c r="C137" s="150" t="str">
        <f t="shared" ref="C137:I137" si="55">C1</f>
        <v>Operating</v>
      </c>
      <c r="D137" s="150" t="str">
        <f t="shared" si="55"/>
        <v>Weights</v>
      </c>
      <c r="E137" s="150" t="str">
        <f t="shared" si="55"/>
        <v>SPED</v>
      </c>
      <c r="F137" s="150" t="str">
        <f t="shared" si="55"/>
        <v>NSLP</v>
      </c>
      <c r="G137" s="150" t="str">
        <f t="shared" si="55"/>
        <v>Title 1</v>
      </c>
      <c r="H137" s="150" t="str">
        <f t="shared" si="55"/>
        <v>Title 2</v>
      </c>
      <c r="I137" s="150" t="str">
        <f t="shared" si="55"/>
        <v>Total</v>
      </c>
      <c r="J137" s="230"/>
    </row>
    <row r="138" spans="1:15" x14ac:dyDescent="0.3">
      <c r="A138" s="94"/>
      <c r="B138" s="100" t="s">
        <v>80</v>
      </c>
      <c r="C138" s="143">
        <f>140*C19</f>
        <v>75600</v>
      </c>
      <c r="D138" s="145"/>
      <c r="E138" s="145"/>
      <c r="F138" s="145"/>
      <c r="G138" s="145"/>
      <c r="H138" s="145"/>
      <c r="I138" s="143">
        <f>SUM(C138:H138)</f>
        <v>75600</v>
      </c>
      <c r="J138" s="225"/>
    </row>
    <row r="139" spans="1:15" hidden="1" x14ac:dyDescent="0.3">
      <c r="A139" s="94"/>
      <c r="B139" s="527" t="s">
        <v>435</v>
      </c>
      <c r="C139" s="143">
        <v>0</v>
      </c>
      <c r="D139" s="145"/>
      <c r="E139" s="145"/>
      <c r="F139" s="145"/>
      <c r="G139" s="145"/>
      <c r="H139" s="145"/>
      <c r="I139" s="143">
        <f>SUM(C139:H139)</f>
        <v>0</v>
      </c>
      <c r="J139" s="225"/>
    </row>
    <row r="140" spans="1:15" x14ac:dyDescent="0.3">
      <c r="A140" s="94"/>
      <c r="B140" s="410" t="s">
        <v>461</v>
      </c>
      <c r="C140" s="145">
        <v>60000</v>
      </c>
      <c r="D140" s="145"/>
      <c r="E140" s="145"/>
      <c r="F140" s="145"/>
      <c r="G140" s="145"/>
      <c r="H140" s="145"/>
      <c r="I140" s="143">
        <f>SUM(C140:H140)</f>
        <v>60000</v>
      </c>
      <c r="J140" s="225" t="s">
        <v>401</v>
      </c>
    </row>
    <row r="141" spans="1:15" x14ac:dyDescent="0.3">
      <c r="A141" s="94"/>
      <c r="B141" s="409" t="s">
        <v>437</v>
      </c>
      <c r="C141" s="145">
        <v>0</v>
      </c>
      <c r="D141" s="145"/>
      <c r="E141" s="145"/>
      <c r="F141" s="145"/>
      <c r="G141" s="145"/>
      <c r="H141" s="145"/>
      <c r="I141" s="143">
        <f>SUM(C141:H141)</f>
        <v>0</v>
      </c>
      <c r="J141" s="225"/>
    </row>
    <row r="142" spans="1:15" x14ac:dyDescent="0.3">
      <c r="A142" s="67">
        <v>610</v>
      </c>
      <c r="B142" s="71" t="s">
        <v>83</v>
      </c>
      <c r="C142" s="143">
        <f>14*C19</f>
        <v>7560</v>
      </c>
      <c r="D142" s="145"/>
      <c r="E142" s="145"/>
      <c r="F142" s="145">
        <v>5500</v>
      </c>
      <c r="G142" s="145"/>
      <c r="H142" s="145"/>
      <c r="I142" s="143">
        <f t="shared" ref="I142:I147" si="56">SUM(C142:H142)</f>
        <v>13060</v>
      </c>
      <c r="J142" s="225"/>
    </row>
    <row r="143" spans="1:15" x14ac:dyDescent="0.3">
      <c r="A143" s="67">
        <v>610</v>
      </c>
      <c r="B143" s="71" t="s">
        <v>84</v>
      </c>
      <c r="C143" s="143">
        <f>29*C19</f>
        <v>15660</v>
      </c>
      <c r="D143" s="145"/>
      <c r="E143" s="145"/>
      <c r="F143" s="145"/>
      <c r="G143" s="145">
        <v>18500</v>
      </c>
      <c r="H143" s="145"/>
      <c r="I143" s="143">
        <f t="shared" si="56"/>
        <v>34160</v>
      </c>
      <c r="J143" s="225"/>
    </row>
    <row r="144" spans="1:15" x14ac:dyDescent="0.3">
      <c r="A144" s="67">
        <v>610</v>
      </c>
      <c r="B144" s="71" t="s">
        <v>85</v>
      </c>
      <c r="C144" s="143">
        <f>4.25*C19</f>
        <v>2295</v>
      </c>
      <c r="D144" s="145"/>
      <c r="E144" s="145"/>
      <c r="F144" s="145"/>
      <c r="G144" s="145"/>
      <c r="H144" s="145"/>
      <c r="I144" s="143">
        <f t="shared" si="56"/>
        <v>2295</v>
      </c>
      <c r="J144" s="225"/>
    </row>
    <row r="145" spans="1:17" x14ac:dyDescent="0.3">
      <c r="A145" s="67">
        <v>610</v>
      </c>
      <c r="B145" s="71" t="s">
        <v>86</v>
      </c>
      <c r="C145" s="143">
        <f>3.25*C19</f>
        <v>1755</v>
      </c>
      <c r="D145" s="145"/>
      <c r="E145" s="145"/>
      <c r="F145" s="145"/>
      <c r="G145" s="145"/>
      <c r="H145" s="145"/>
      <c r="I145" s="143">
        <f t="shared" si="56"/>
        <v>1755</v>
      </c>
      <c r="J145" s="225"/>
    </row>
    <row r="146" spans="1:17" x14ac:dyDescent="0.3">
      <c r="A146" s="67">
        <v>610</v>
      </c>
      <c r="B146" s="71" t="s">
        <v>87</v>
      </c>
      <c r="C146" s="143">
        <f>120*C22</f>
        <v>0</v>
      </c>
      <c r="D146" s="145"/>
      <c r="E146" s="145">
        <f>129*E22</f>
        <v>8359.1999999999989</v>
      </c>
      <c r="F146" s="145"/>
      <c r="G146" s="145"/>
      <c r="H146" s="145"/>
      <c r="I146" s="143">
        <f t="shared" si="56"/>
        <v>8359.1999999999989</v>
      </c>
      <c r="J146" s="225"/>
    </row>
    <row r="147" spans="1:17" ht="15" thickBot="1" x14ac:dyDescent="0.35">
      <c r="A147" s="102"/>
      <c r="B147" s="71" t="s">
        <v>88</v>
      </c>
      <c r="C147" s="153">
        <v>0</v>
      </c>
      <c r="D147" s="153"/>
      <c r="E147" s="153"/>
      <c r="F147" s="153"/>
      <c r="G147" s="153"/>
      <c r="H147" s="153"/>
      <c r="I147" s="143">
        <f t="shared" si="56"/>
        <v>0</v>
      </c>
      <c r="J147" s="225"/>
    </row>
    <row r="148" spans="1:17" s="222" customFormat="1" ht="15" thickBot="1" x14ac:dyDescent="0.35">
      <c r="A148" s="103"/>
      <c r="B148" s="528" t="s">
        <v>89</v>
      </c>
      <c r="C148" s="483">
        <f>SUM(C138:C147)</f>
        <v>162870</v>
      </c>
      <c r="D148" s="483">
        <f t="shared" ref="D148:I148" si="57">SUM(D138:D147)</f>
        <v>0</v>
      </c>
      <c r="E148" s="483">
        <f t="shared" si="57"/>
        <v>8359.1999999999989</v>
      </c>
      <c r="F148" s="483">
        <f t="shared" si="57"/>
        <v>5500</v>
      </c>
      <c r="G148" s="483">
        <f t="shared" si="57"/>
        <v>18500</v>
      </c>
      <c r="H148" s="483">
        <f t="shared" si="57"/>
        <v>0</v>
      </c>
      <c r="I148" s="483">
        <f t="shared" si="57"/>
        <v>195229.2</v>
      </c>
      <c r="J148" s="237"/>
    </row>
    <row r="149" spans="1:17" s="222" customFormat="1" ht="15" thickBot="1" x14ac:dyDescent="0.35">
      <c r="A149" s="107"/>
      <c r="B149" s="108" t="s">
        <v>90</v>
      </c>
      <c r="C149" s="162"/>
      <c r="D149" s="162"/>
      <c r="E149" s="162"/>
      <c r="F149" s="162"/>
      <c r="G149" s="162"/>
      <c r="H149" s="162"/>
      <c r="I149" s="162"/>
      <c r="J149" s="237"/>
    </row>
    <row r="150" spans="1:17" s="222" customFormat="1" x14ac:dyDescent="0.3">
      <c r="A150" s="78">
        <v>320</v>
      </c>
      <c r="B150" s="71" t="s">
        <v>91</v>
      </c>
      <c r="C150" s="163">
        <v>0</v>
      </c>
      <c r="D150" s="145">
        <f>12000*1.06</f>
        <v>12720</v>
      </c>
      <c r="E150" s="145"/>
      <c r="F150" s="145"/>
      <c r="G150" s="145"/>
      <c r="H150" s="145"/>
      <c r="I150" s="143">
        <f t="shared" ref="I150:I160" si="58">SUM(C150:H150)</f>
        <v>12720</v>
      </c>
      <c r="J150" s="237"/>
      <c r="K150" s="219"/>
    </row>
    <row r="151" spans="1:17" x14ac:dyDescent="0.3">
      <c r="A151" s="67">
        <v>300</v>
      </c>
      <c r="B151" s="71" t="s">
        <v>92</v>
      </c>
      <c r="C151" s="143"/>
      <c r="D151" s="143"/>
      <c r="E151" s="143">
        <f>260*C19</f>
        <v>140400</v>
      </c>
      <c r="F151" s="143"/>
      <c r="G151" s="143"/>
      <c r="H151" s="143"/>
      <c r="I151" s="143">
        <f t="shared" si="58"/>
        <v>140400</v>
      </c>
      <c r="J151" s="225"/>
    </row>
    <row r="152" spans="1:17" x14ac:dyDescent="0.3">
      <c r="A152" s="67">
        <v>310</v>
      </c>
      <c r="B152" s="71" t="s">
        <v>347</v>
      </c>
      <c r="C152" s="145">
        <v>0</v>
      </c>
      <c r="D152" s="143"/>
      <c r="E152" s="143"/>
      <c r="F152" s="143"/>
      <c r="G152" s="143"/>
      <c r="H152" s="143"/>
      <c r="I152" s="143">
        <f t="shared" si="58"/>
        <v>0</v>
      </c>
      <c r="J152" s="225"/>
      <c r="K152" s="259"/>
      <c r="L152" s="259"/>
      <c r="M152" s="259"/>
      <c r="N152" s="259"/>
      <c r="O152" s="259"/>
    </row>
    <row r="153" spans="1:17" x14ac:dyDescent="0.3">
      <c r="A153" s="67">
        <v>310</v>
      </c>
      <c r="B153" s="71" t="s">
        <v>224</v>
      </c>
      <c r="C153" s="145">
        <f>450*C19</f>
        <v>243000</v>
      </c>
      <c r="D153" s="143"/>
      <c r="E153" s="143"/>
      <c r="F153" s="143"/>
      <c r="G153" s="143"/>
      <c r="H153" s="143"/>
      <c r="I153" s="143">
        <f t="shared" si="58"/>
        <v>243000</v>
      </c>
      <c r="J153" s="225"/>
      <c r="K153" s="259"/>
      <c r="L153" s="259"/>
      <c r="M153" s="259"/>
      <c r="N153" s="259"/>
      <c r="O153" s="259"/>
      <c r="Q153" s="365"/>
    </row>
    <row r="154" spans="1:17" x14ac:dyDescent="0.3">
      <c r="A154" s="67">
        <v>310</v>
      </c>
      <c r="B154" s="71" t="s">
        <v>93</v>
      </c>
      <c r="C154" s="145">
        <f>(240*C64)+1500</f>
        <v>8460</v>
      </c>
      <c r="D154" s="143">
        <f>(240*D64)</f>
        <v>480</v>
      </c>
      <c r="E154" s="143">
        <f>(240*E64)</f>
        <v>960</v>
      </c>
      <c r="F154" s="143">
        <f>(240*F64)</f>
        <v>240</v>
      </c>
      <c r="G154" s="143">
        <f>(240*G64)</f>
        <v>960</v>
      </c>
      <c r="H154" s="143"/>
      <c r="I154" s="143">
        <f t="shared" si="58"/>
        <v>11100</v>
      </c>
      <c r="J154" s="225"/>
      <c r="K154" s="167"/>
      <c r="L154" s="167"/>
      <c r="M154" s="167"/>
      <c r="N154" s="167"/>
      <c r="O154" s="167"/>
    </row>
    <row r="155" spans="1:17" x14ac:dyDescent="0.3">
      <c r="A155" s="67">
        <v>340</v>
      </c>
      <c r="B155" s="71" t="s">
        <v>94</v>
      </c>
      <c r="C155" s="145">
        <f>'24-25'!C155*1.05</f>
        <v>22050</v>
      </c>
      <c r="D155" s="143"/>
      <c r="E155" s="143"/>
      <c r="F155" s="143"/>
      <c r="G155" s="143"/>
      <c r="H155" s="143"/>
      <c r="I155" s="143">
        <f t="shared" si="58"/>
        <v>22050</v>
      </c>
      <c r="J155" s="225"/>
    </row>
    <row r="156" spans="1:17" x14ac:dyDescent="0.3">
      <c r="A156" s="67">
        <v>340</v>
      </c>
      <c r="B156" s="71" t="s">
        <v>95</v>
      </c>
      <c r="C156" s="145">
        <v>5000</v>
      </c>
      <c r="D156" s="143"/>
      <c r="E156" s="143"/>
      <c r="F156" s="143"/>
      <c r="G156" s="143"/>
      <c r="H156" s="143"/>
      <c r="I156" s="143">
        <f t="shared" si="58"/>
        <v>5000</v>
      </c>
      <c r="J156" s="225"/>
    </row>
    <row r="157" spans="1:17" x14ac:dyDescent="0.3">
      <c r="A157" s="67">
        <v>352</v>
      </c>
      <c r="B157" s="71" t="s">
        <v>96</v>
      </c>
      <c r="C157" s="145">
        <f>45*C19</f>
        <v>24300</v>
      </c>
      <c r="D157" s="143"/>
      <c r="E157" s="143"/>
      <c r="F157" s="143"/>
      <c r="G157" s="143"/>
      <c r="H157" s="143"/>
      <c r="I157" s="143">
        <f t="shared" si="58"/>
        <v>24300</v>
      </c>
      <c r="J157" s="225"/>
    </row>
    <row r="158" spans="1:17" x14ac:dyDescent="0.3">
      <c r="A158" s="67">
        <v>350</v>
      </c>
      <c r="B158" s="71" t="s">
        <v>97</v>
      </c>
      <c r="C158" s="145">
        <v>10000</v>
      </c>
      <c r="D158" s="143"/>
      <c r="E158" s="143"/>
      <c r="F158" s="143"/>
      <c r="G158" s="143"/>
      <c r="H158" s="143"/>
      <c r="I158" s="143">
        <f t="shared" si="58"/>
        <v>10000</v>
      </c>
      <c r="J158" s="225"/>
    </row>
    <row r="159" spans="1:17" x14ac:dyDescent="0.3">
      <c r="A159" s="67">
        <v>591</v>
      </c>
      <c r="B159" s="71" t="s">
        <v>98</v>
      </c>
      <c r="C159" s="145">
        <f>(I86+I89+I92+I93+I94)*0.0125</f>
        <v>55766.873005041096</v>
      </c>
      <c r="D159" s="143">
        <f>(D79+D80+D81)*0.0125</f>
        <v>2733.2861287500004</v>
      </c>
      <c r="E159" s="143"/>
      <c r="F159" s="143"/>
      <c r="G159" s="143"/>
      <c r="H159" s="143"/>
      <c r="I159" s="143">
        <f t="shared" si="58"/>
        <v>58500.159133791094</v>
      </c>
      <c r="J159" s="238"/>
    </row>
    <row r="160" spans="1:17" hidden="1" x14ac:dyDescent="0.3">
      <c r="A160" s="67">
        <v>320</v>
      </c>
      <c r="B160" s="71" t="s">
        <v>341</v>
      </c>
      <c r="C160" s="142"/>
      <c r="D160" s="143"/>
      <c r="E160" s="143"/>
      <c r="F160" s="143"/>
      <c r="G160" s="143"/>
      <c r="H160" s="143"/>
      <c r="I160" s="143">
        <f t="shared" si="58"/>
        <v>0</v>
      </c>
      <c r="J160" s="238"/>
      <c r="K160" s="259"/>
      <c r="L160" s="259"/>
      <c r="M160" s="259"/>
      <c r="N160" s="259"/>
      <c r="O160" s="259"/>
    </row>
    <row r="161" spans="1:15" hidden="1" x14ac:dyDescent="0.3">
      <c r="A161" s="67"/>
      <c r="B161" s="71"/>
      <c r="C161" s="142"/>
      <c r="D161" s="143"/>
      <c r="E161" s="143"/>
      <c r="F161" s="143"/>
      <c r="G161" s="143"/>
      <c r="H161" s="143"/>
      <c r="I161" s="143"/>
      <c r="J161" s="238"/>
      <c r="K161" s="259"/>
      <c r="L161" s="259"/>
      <c r="M161" s="259"/>
      <c r="N161" s="259"/>
      <c r="O161" s="259"/>
    </row>
    <row r="162" spans="1:15" ht="15" thickBot="1" x14ac:dyDescent="0.35">
      <c r="A162" s="67">
        <v>330</v>
      </c>
      <c r="B162" s="71" t="s">
        <v>381</v>
      </c>
      <c r="C162" s="145">
        <f>C86*0.005</f>
        <v>20469.584750516438</v>
      </c>
      <c r="D162" s="143"/>
      <c r="E162" s="143"/>
      <c r="F162" s="143"/>
      <c r="G162" s="143"/>
      <c r="H162" s="143">
        <f>H78</f>
        <v>38250</v>
      </c>
      <c r="I162" s="143">
        <f>SUM(C162:H162)</f>
        <v>58719.584750516442</v>
      </c>
      <c r="J162" s="238"/>
    </row>
    <row r="163" spans="1:15" ht="15" thickBot="1" x14ac:dyDescent="0.35">
      <c r="A163" s="103"/>
      <c r="B163" s="528" t="s">
        <v>447</v>
      </c>
      <c r="C163" s="483">
        <f>SUM(C150:C162)</f>
        <v>389046.45775555755</v>
      </c>
      <c r="D163" s="483">
        <f t="shared" ref="D163:I163" si="59">SUM(D150:D162)</f>
        <v>15933.28612875</v>
      </c>
      <c r="E163" s="483">
        <f t="shared" si="59"/>
        <v>141360</v>
      </c>
      <c r="F163" s="483">
        <f t="shared" si="59"/>
        <v>240</v>
      </c>
      <c r="G163" s="483">
        <f t="shared" si="59"/>
        <v>960</v>
      </c>
      <c r="H163" s="483">
        <f t="shared" si="59"/>
        <v>38250</v>
      </c>
      <c r="I163" s="483">
        <f t="shared" si="59"/>
        <v>585789.74388430757</v>
      </c>
      <c r="J163" s="225"/>
      <c r="K163" s="260"/>
      <c r="L163" s="260"/>
      <c r="M163" s="260"/>
      <c r="N163" s="260"/>
      <c r="O163" s="260"/>
    </row>
    <row r="164" spans="1:15" ht="15" thickBot="1" x14ac:dyDescent="0.35">
      <c r="A164" s="107"/>
      <c r="B164" s="529" t="s">
        <v>448</v>
      </c>
      <c r="C164" s="150" t="str">
        <f t="shared" ref="C164:I164" si="60">C1</f>
        <v>Operating</v>
      </c>
      <c r="D164" s="150" t="str">
        <f t="shared" si="60"/>
        <v>Weights</v>
      </c>
      <c r="E164" s="150" t="str">
        <f t="shared" si="60"/>
        <v>SPED</v>
      </c>
      <c r="F164" s="150" t="str">
        <f t="shared" si="60"/>
        <v>NSLP</v>
      </c>
      <c r="G164" s="150" t="str">
        <f t="shared" si="60"/>
        <v>Title 1</v>
      </c>
      <c r="H164" s="150" t="str">
        <f t="shared" si="60"/>
        <v>Title 2</v>
      </c>
      <c r="I164" s="150" t="str">
        <f t="shared" si="60"/>
        <v>Total</v>
      </c>
      <c r="J164" s="230"/>
    </row>
    <row r="165" spans="1:15" x14ac:dyDescent="0.3">
      <c r="A165" s="67">
        <v>533</v>
      </c>
      <c r="B165" s="71" t="s">
        <v>103</v>
      </c>
      <c r="C165" s="143">
        <f>'24-25'!C165*1.05</f>
        <v>6945.75</v>
      </c>
      <c r="D165" s="143"/>
      <c r="E165" s="143"/>
      <c r="F165" s="143"/>
      <c r="G165" s="143"/>
      <c r="H165" s="143"/>
      <c r="I165" s="143">
        <f t="shared" ref="I165:I171" si="61">SUM(C165:H165)</f>
        <v>6945.75</v>
      </c>
      <c r="J165" s="225"/>
    </row>
    <row r="166" spans="1:15" x14ac:dyDescent="0.3">
      <c r="A166" s="67">
        <v>535</v>
      </c>
      <c r="B166" s="71" t="s">
        <v>104</v>
      </c>
      <c r="C166" s="143">
        <f>'24-25'!C166*1.05</f>
        <v>8103.375</v>
      </c>
      <c r="D166" s="143"/>
      <c r="E166" s="143"/>
      <c r="F166" s="143"/>
      <c r="G166" s="143"/>
      <c r="H166" s="143"/>
      <c r="I166" s="143">
        <f t="shared" si="61"/>
        <v>8103.375</v>
      </c>
      <c r="J166" s="225"/>
    </row>
    <row r="167" spans="1:15" x14ac:dyDescent="0.3">
      <c r="A167" s="67">
        <v>534</v>
      </c>
      <c r="B167" s="71" t="s">
        <v>105</v>
      </c>
      <c r="C167" s="143">
        <v>0</v>
      </c>
      <c r="D167" s="143"/>
      <c r="E167" s="143"/>
      <c r="F167" s="143"/>
      <c r="G167" s="143"/>
      <c r="H167" s="143"/>
      <c r="I167" s="143">
        <f t="shared" si="61"/>
        <v>0</v>
      </c>
      <c r="J167" s="225"/>
    </row>
    <row r="168" spans="1:15" x14ac:dyDescent="0.3">
      <c r="A168" s="67">
        <v>531</v>
      </c>
      <c r="B168" s="71" t="s">
        <v>106</v>
      </c>
      <c r="C168" s="143">
        <v>1250</v>
      </c>
      <c r="D168" s="143"/>
      <c r="E168" s="143"/>
      <c r="F168" s="143"/>
      <c r="G168" s="143"/>
      <c r="H168" s="143"/>
      <c r="I168" s="143">
        <f t="shared" si="61"/>
        <v>1250</v>
      </c>
      <c r="J168" s="225"/>
    </row>
    <row r="169" spans="1:15" x14ac:dyDescent="0.3">
      <c r="A169" s="67">
        <v>535</v>
      </c>
      <c r="B169" s="71" t="s">
        <v>107</v>
      </c>
      <c r="C169" s="143">
        <f>'24-25'!C169*1.02</f>
        <v>5306.04</v>
      </c>
      <c r="D169" s="143"/>
      <c r="E169" s="143"/>
      <c r="F169" s="143"/>
      <c r="G169" s="143"/>
      <c r="H169" s="143"/>
      <c r="I169" s="143">
        <f t="shared" si="61"/>
        <v>5306.04</v>
      </c>
      <c r="J169" s="225"/>
    </row>
    <row r="170" spans="1:15" x14ac:dyDescent="0.3">
      <c r="A170" s="67">
        <v>443</v>
      </c>
      <c r="B170" s="71" t="s">
        <v>108</v>
      </c>
      <c r="C170" s="143">
        <f>'24-25'!C170*1.05</f>
        <v>18900</v>
      </c>
      <c r="D170" s="143"/>
      <c r="E170" s="143"/>
      <c r="F170" s="143"/>
      <c r="G170" s="143"/>
      <c r="H170" s="143"/>
      <c r="I170" s="143">
        <f t="shared" si="61"/>
        <v>18900</v>
      </c>
      <c r="J170" s="225"/>
    </row>
    <row r="171" spans="1:15" ht="15" thickBot="1" x14ac:dyDescent="0.35">
      <c r="A171" s="67">
        <v>651</v>
      </c>
      <c r="B171" s="71" t="s">
        <v>109</v>
      </c>
      <c r="C171" s="143">
        <f>2500+(C19*2)</f>
        <v>3580</v>
      </c>
      <c r="D171" s="143"/>
      <c r="E171" s="143"/>
      <c r="F171" s="143"/>
      <c r="G171" s="143"/>
      <c r="H171" s="143"/>
      <c r="I171" s="143">
        <f t="shared" si="61"/>
        <v>3580</v>
      </c>
      <c r="J171" s="225"/>
    </row>
    <row r="172" spans="1:15" ht="15" thickBot="1" x14ac:dyDescent="0.35">
      <c r="A172" s="103"/>
      <c r="B172" s="528" t="s">
        <v>449</v>
      </c>
      <c r="C172" s="483">
        <f>SUM(C165:C171)</f>
        <v>44085.165000000001</v>
      </c>
      <c r="D172" s="483">
        <f t="shared" ref="D172:I172" si="62">SUM(D165:D171)</f>
        <v>0</v>
      </c>
      <c r="E172" s="483">
        <f t="shared" si="62"/>
        <v>0</v>
      </c>
      <c r="F172" s="483">
        <f t="shared" si="62"/>
        <v>0</v>
      </c>
      <c r="G172" s="483">
        <f t="shared" si="62"/>
        <v>0</v>
      </c>
      <c r="H172" s="483">
        <f t="shared" si="62"/>
        <v>0</v>
      </c>
      <c r="I172" s="483">
        <f t="shared" si="62"/>
        <v>44085.165000000001</v>
      </c>
      <c r="J172" s="225"/>
    </row>
    <row r="173" spans="1:15" ht="15" thickBot="1" x14ac:dyDescent="0.35">
      <c r="A173" s="107"/>
      <c r="B173" s="108" t="s">
        <v>111</v>
      </c>
      <c r="C173" s="162"/>
      <c r="D173" s="162"/>
      <c r="E173" s="162"/>
      <c r="F173" s="162"/>
      <c r="G173" s="162"/>
      <c r="H173" s="162"/>
      <c r="I173" s="162"/>
      <c r="J173" s="225"/>
    </row>
    <row r="174" spans="1:15" x14ac:dyDescent="0.3">
      <c r="A174" s="67">
        <v>521</v>
      </c>
      <c r="B174" s="71" t="s">
        <v>410</v>
      </c>
      <c r="C174" s="143">
        <f>'24-25'!C174*1.1</f>
        <v>9317.0000000000036</v>
      </c>
      <c r="D174" s="143"/>
      <c r="E174" s="143"/>
      <c r="F174" s="143"/>
      <c r="G174" s="143"/>
      <c r="H174" s="143"/>
      <c r="I174" s="143">
        <f>SUM(C174:H174)</f>
        <v>9317.0000000000036</v>
      </c>
      <c r="J174" s="225"/>
    </row>
    <row r="175" spans="1:15" x14ac:dyDescent="0.3">
      <c r="A175" s="67">
        <v>522</v>
      </c>
      <c r="B175" s="71" t="s">
        <v>113</v>
      </c>
      <c r="C175" s="143">
        <f>'24-25'!C175*1.1</f>
        <v>6655.0000000000018</v>
      </c>
      <c r="D175" s="143"/>
      <c r="E175" s="143"/>
      <c r="F175" s="143"/>
      <c r="G175" s="143"/>
      <c r="H175" s="143"/>
      <c r="I175" s="143">
        <f>SUM(C175:H175)</f>
        <v>6655.0000000000018</v>
      </c>
      <c r="J175" s="225"/>
      <c r="K175" s="408"/>
    </row>
    <row r="176" spans="1:15" ht="15" thickBot="1" x14ac:dyDescent="0.35">
      <c r="A176" s="67">
        <v>523</v>
      </c>
      <c r="B176" s="71" t="s">
        <v>114</v>
      </c>
      <c r="C176" s="143">
        <f>'24-25'!C176*1.1</f>
        <v>17968.500000000004</v>
      </c>
      <c r="D176" s="143"/>
      <c r="E176" s="143"/>
      <c r="F176" s="143"/>
      <c r="G176" s="143"/>
      <c r="H176" s="143"/>
      <c r="I176" s="143">
        <f>SUM(C176:H176)</f>
        <v>17968.500000000004</v>
      </c>
      <c r="J176" s="225"/>
    </row>
    <row r="177" spans="1:13" ht="15" thickBot="1" x14ac:dyDescent="0.35">
      <c r="A177" s="103"/>
      <c r="B177" s="528" t="s">
        <v>450</v>
      </c>
      <c r="C177" s="483">
        <f>SUM(C174:C176)</f>
        <v>33940.500000000007</v>
      </c>
      <c r="D177" s="483">
        <f t="shared" ref="D177:I177" si="63">SUM(D174:D176)</f>
        <v>0</v>
      </c>
      <c r="E177" s="483">
        <f t="shared" si="63"/>
        <v>0</v>
      </c>
      <c r="F177" s="483">
        <f t="shared" si="63"/>
        <v>0</v>
      </c>
      <c r="G177" s="483">
        <f t="shared" si="63"/>
        <v>0</v>
      </c>
      <c r="H177" s="483">
        <f t="shared" si="63"/>
        <v>0</v>
      </c>
      <c r="I177" s="483">
        <f t="shared" si="63"/>
        <v>33940.500000000007</v>
      </c>
      <c r="J177" s="225"/>
    </row>
    <row r="178" spans="1:13" ht="15" thickBot="1" x14ac:dyDescent="0.35">
      <c r="A178" s="107"/>
      <c r="B178" s="108" t="s">
        <v>116</v>
      </c>
      <c r="C178" s="162"/>
      <c r="D178" s="162"/>
      <c r="E178" s="162"/>
      <c r="F178" s="162"/>
      <c r="G178" s="162"/>
      <c r="H178" s="162"/>
      <c r="I178" s="162"/>
      <c r="J178" s="225"/>
    </row>
    <row r="179" spans="1:13" x14ac:dyDescent="0.3">
      <c r="A179" s="67">
        <v>570</v>
      </c>
      <c r="B179" s="71" t="s">
        <v>392</v>
      </c>
      <c r="C179" s="143">
        <f>((C19*C25)*3*180)</f>
        <v>0</v>
      </c>
      <c r="D179" s="143"/>
      <c r="E179" s="143"/>
      <c r="F179" s="143">
        <f>((C19*F25)*3.25*180)+((C19*F25)*2.5*180)</f>
        <v>480654</v>
      </c>
      <c r="G179" s="143"/>
      <c r="H179" s="143"/>
      <c r="I179" s="143">
        <f t="shared" ref="I179:I187" si="64">SUM(C179:H179)</f>
        <v>480654</v>
      </c>
      <c r="J179" s="239"/>
    </row>
    <row r="180" spans="1:13" x14ac:dyDescent="0.3">
      <c r="A180" s="67">
        <v>540</v>
      </c>
      <c r="B180" s="71" t="s">
        <v>118</v>
      </c>
      <c r="C180" s="143">
        <f>'24-25'!C180*1.04</f>
        <v>5624.3200000000006</v>
      </c>
      <c r="D180" s="143"/>
      <c r="E180" s="143"/>
      <c r="F180" s="143"/>
      <c r="G180" s="143"/>
      <c r="H180" s="143"/>
      <c r="I180" s="143">
        <f t="shared" si="64"/>
        <v>5624.3200000000006</v>
      </c>
      <c r="J180" s="225"/>
    </row>
    <row r="181" spans="1:13" x14ac:dyDescent="0.3">
      <c r="A181" s="67">
        <v>580</v>
      </c>
      <c r="B181" s="71" t="s">
        <v>119</v>
      </c>
      <c r="C181" s="143">
        <v>5000</v>
      </c>
      <c r="D181" s="143"/>
      <c r="E181" s="143"/>
      <c r="F181" s="143"/>
      <c r="G181" s="143"/>
      <c r="H181" s="143"/>
      <c r="I181" s="143">
        <f t="shared" si="64"/>
        <v>5000</v>
      </c>
      <c r="J181" s="225"/>
    </row>
    <row r="182" spans="1:13" x14ac:dyDescent="0.3">
      <c r="A182" s="67">
        <v>340</v>
      </c>
      <c r="B182" s="71" t="s">
        <v>120</v>
      </c>
      <c r="C182" s="143">
        <f>IF((I64-'24-25'!I64)*60&gt;600,(I64-'24-25'!I64)*60,600)</f>
        <v>600</v>
      </c>
      <c r="D182" s="143"/>
      <c r="E182" s="143"/>
      <c r="F182" s="143"/>
      <c r="G182" s="143"/>
      <c r="H182" s="143"/>
      <c r="I182" s="143">
        <f t="shared" si="64"/>
        <v>600</v>
      </c>
      <c r="J182" s="225"/>
    </row>
    <row r="183" spans="1:13" x14ac:dyDescent="0.3">
      <c r="A183" s="112">
        <v>810</v>
      </c>
      <c r="B183" s="71" t="s">
        <v>121</v>
      </c>
      <c r="C183" s="145">
        <v>10000</v>
      </c>
      <c r="D183" s="143"/>
      <c r="E183" s="143"/>
      <c r="F183" s="143"/>
      <c r="G183" s="143"/>
      <c r="H183" s="143"/>
      <c r="I183" s="143">
        <f t="shared" si="64"/>
        <v>10000</v>
      </c>
      <c r="J183" s="225"/>
    </row>
    <row r="184" spans="1:13" hidden="1" x14ac:dyDescent="0.3">
      <c r="A184" s="94"/>
      <c r="B184" s="71" t="s">
        <v>122</v>
      </c>
      <c r="C184" s="145"/>
      <c r="D184" s="143"/>
      <c r="E184" s="143"/>
      <c r="F184" s="143"/>
      <c r="G184" s="143"/>
      <c r="H184" s="143"/>
      <c r="I184" s="143">
        <f t="shared" si="64"/>
        <v>0</v>
      </c>
      <c r="J184" s="225"/>
    </row>
    <row r="185" spans="1:13" x14ac:dyDescent="0.3">
      <c r="A185" s="112"/>
      <c r="B185" s="71" t="s">
        <v>123</v>
      </c>
      <c r="C185" s="145"/>
      <c r="D185" s="143"/>
      <c r="E185" s="143"/>
      <c r="F185" s="143"/>
      <c r="G185" s="143"/>
      <c r="H185" s="143"/>
      <c r="I185" s="143">
        <f t="shared" si="64"/>
        <v>0</v>
      </c>
      <c r="J185" s="225"/>
    </row>
    <row r="186" spans="1:13" x14ac:dyDescent="0.3">
      <c r="A186" s="112"/>
      <c r="B186" s="71" t="s">
        <v>124</v>
      </c>
      <c r="C186" s="145">
        <v>0</v>
      </c>
      <c r="D186" s="143"/>
      <c r="E186" s="143"/>
      <c r="F186" s="143"/>
      <c r="G186" s="143"/>
      <c r="H186" s="143"/>
      <c r="I186" s="143">
        <f t="shared" si="64"/>
        <v>0</v>
      </c>
      <c r="J186" s="225"/>
      <c r="K186" s="260"/>
      <c r="L186" s="260"/>
      <c r="M186" s="261"/>
    </row>
    <row r="187" spans="1:13" ht="15" thickBot="1" x14ac:dyDescent="0.35">
      <c r="A187" s="67">
        <v>900</v>
      </c>
      <c r="B187" s="71" t="s">
        <v>125</v>
      </c>
      <c r="C187" s="143">
        <v>1000</v>
      </c>
      <c r="D187" s="143"/>
      <c r="E187" s="143"/>
      <c r="F187" s="143"/>
      <c r="G187" s="143"/>
      <c r="H187" s="143"/>
      <c r="I187" s="143">
        <f t="shared" si="64"/>
        <v>1000</v>
      </c>
      <c r="J187" s="225"/>
    </row>
    <row r="188" spans="1:13" ht="15" thickBot="1" x14ac:dyDescent="0.35">
      <c r="A188" s="103"/>
      <c r="B188" s="528" t="s">
        <v>451</v>
      </c>
      <c r="C188" s="483">
        <f>SUM(C179:C187)</f>
        <v>22224.32</v>
      </c>
      <c r="D188" s="483">
        <f t="shared" ref="D188:I188" si="65">SUM(D179:D187)</f>
        <v>0</v>
      </c>
      <c r="E188" s="483">
        <f t="shared" si="65"/>
        <v>0</v>
      </c>
      <c r="F188" s="483">
        <f t="shared" si="65"/>
        <v>480654</v>
      </c>
      <c r="G188" s="483">
        <f t="shared" si="65"/>
        <v>0</v>
      </c>
      <c r="H188" s="483">
        <f t="shared" si="65"/>
        <v>0</v>
      </c>
      <c r="I188" s="483">
        <f t="shared" si="65"/>
        <v>502878.32</v>
      </c>
      <c r="J188" s="225"/>
    </row>
    <row r="189" spans="1:13" ht="15" thickBot="1" x14ac:dyDescent="0.35">
      <c r="A189" s="107"/>
      <c r="B189" s="108" t="s">
        <v>127</v>
      </c>
      <c r="C189" s="150" t="str">
        <f t="shared" ref="C189:I189" si="66">C1</f>
        <v>Operating</v>
      </c>
      <c r="D189" s="150" t="str">
        <f t="shared" si="66"/>
        <v>Weights</v>
      </c>
      <c r="E189" s="150" t="str">
        <f t="shared" si="66"/>
        <v>SPED</v>
      </c>
      <c r="F189" s="150" t="str">
        <f t="shared" si="66"/>
        <v>NSLP</v>
      </c>
      <c r="G189" s="150" t="str">
        <f t="shared" si="66"/>
        <v>Title 1</v>
      </c>
      <c r="H189" s="150" t="str">
        <f t="shared" si="66"/>
        <v>Title 2</v>
      </c>
      <c r="I189" s="150" t="str">
        <f t="shared" si="66"/>
        <v>Total</v>
      </c>
      <c r="J189" s="230"/>
    </row>
    <row r="190" spans="1:13" x14ac:dyDescent="0.3">
      <c r="A190" s="78">
        <v>622</v>
      </c>
      <c r="B190" s="71" t="s">
        <v>325</v>
      </c>
      <c r="C190" s="157">
        <f>'24-25'!C190*1.25</f>
        <v>49687.5</v>
      </c>
      <c r="D190" s="143"/>
      <c r="E190" s="143"/>
      <c r="F190" s="143"/>
      <c r="G190" s="143"/>
      <c r="H190" s="143"/>
      <c r="I190" s="143">
        <f t="shared" ref="I190:I200" si="67">SUM(C190:H190)</f>
        <v>49687.5</v>
      </c>
      <c r="J190" s="225"/>
    </row>
    <row r="191" spans="1:13" x14ac:dyDescent="0.3">
      <c r="A191" s="67">
        <v>621</v>
      </c>
      <c r="B191" s="71" t="s">
        <v>129</v>
      </c>
      <c r="C191" s="157">
        <f>'24-25'!C191*1.25</f>
        <v>0</v>
      </c>
      <c r="D191" s="143"/>
      <c r="E191" s="143"/>
      <c r="F191" s="143"/>
      <c r="G191" s="143"/>
      <c r="H191" s="143"/>
      <c r="I191" s="143">
        <f t="shared" si="67"/>
        <v>0</v>
      </c>
      <c r="J191" s="225"/>
    </row>
    <row r="192" spans="1:13" x14ac:dyDescent="0.3">
      <c r="A192" s="67">
        <v>411</v>
      </c>
      <c r="B192" s="71" t="s">
        <v>130</v>
      </c>
      <c r="C192" s="157">
        <f>'24-25'!C192*1.25</f>
        <v>14045</v>
      </c>
      <c r="D192" s="143"/>
      <c r="E192" s="143"/>
      <c r="F192" s="143"/>
      <c r="G192" s="143"/>
      <c r="H192" s="143"/>
      <c r="I192" s="143">
        <f t="shared" si="67"/>
        <v>14045</v>
      </c>
      <c r="J192" s="225"/>
    </row>
    <row r="193" spans="1:15" x14ac:dyDescent="0.3">
      <c r="A193" s="67">
        <v>422</v>
      </c>
      <c r="B193" s="71" t="s">
        <v>131</v>
      </c>
      <c r="C193" s="157">
        <f>'24-25'!C193*1.25</f>
        <v>10533.75</v>
      </c>
      <c r="D193" s="143"/>
      <c r="E193" s="143"/>
      <c r="F193" s="143"/>
      <c r="G193" s="143"/>
      <c r="H193" s="143"/>
      <c r="I193" s="143">
        <f t="shared" si="67"/>
        <v>10533.75</v>
      </c>
      <c r="J193" s="225"/>
    </row>
    <row r="194" spans="1:15" x14ac:dyDescent="0.3">
      <c r="A194" s="67">
        <v>490</v>
      </c>
      <c r="B194" s="71" t="s">
        <v>132</v>
      </c>
      <c r="C194" s="143">
        <f>'24-25'!C194*1.03</f>
        <v>5463.6350000000002</v>
      </c>
      <c r="D194" s="143"/>
      <c r="E194" s="143"/>
      <c r="F194" s="143"/>
      <c r="G194" s="143"/>
      <c r="H194" s="143"/>
      <c r="I194" s="143">
        <f t="shared" si="67"/>
        <v>5463.6350000000002</v>
      </c>
      <c r="J194" s="225"/>
    </row>
    <row r="195" spans="1:15" x14ac:dyDescent="0.3">
      <c r="A195" s="67">
        <v>422</v>
      </c>
      <c r="B195" s="71" t="s">
        <v>133</v>
      </c>
      <c r="C195" s="142">
        <f>((45000)*0.1475)*12</f>
        <v>79650</v>
      </c>
      <c r="D195" s="143"/>
      <c r="E195" s="143"/>
      <c r="F195" s="143"/>
      <c r="G195" s="143"/>
      <c r="H195" s="143"/>
      <c r="I195" s="143">
        <f t="shared" si="67"/>
        <v>79650</v>
      </c>
      <c r="J195" s="237"/>
    </row>
    <row r="196" spans="1:15" x14ac:dyDescent="0.3">
      <c r="A196" s="67">
        <v>610</v>
      </c>
      <c r="B196" s="71" t="s">
        <v>134</v>
      </c>
      <c r="C196" s="143">
        <f>32*C5</f>
        <v>17280</v>
      </c>
      <c r="D196" s="143"/>
      <c r="E196" s="143"/>
      <c r="F196" s="143"/>
      <c r="G196" s="143"/>
      <c r="H196" s="143"/>
      <c r="I196" s="143">
        <f t="shared" si="67"/>
        <v>17280</v>
      </c>
      <c r="J196" s="237"/>
    </row>
    <row r="197" spans="1:15" x14ac:dyDescent="0.3">
      <c r="A197" s="67" t="s">
        <v>135</v>
      </c>
      <c r="B197" s="71" t="s">
        <v>136</v>
      </c>
      <c r="C197" s="143">
        <v>12500</v>
      </c>
      <c r="D197" s="143"/>
      <c r="E197" s="143"/>
      <c r="F197" s="143"/>
      <c r="G197" s="143"/>
      <c r="H197" s="143"/>
      <c r="I197" s="143">
        <f t="shared" si="67"/>
        <v>12500</v>
      </c>
      <c r="J197" s="237"/>
    </row>
    <row r="198" spans="1:15" hidden="1" x14ac:dyDescent="0.3">
      <c r="A198" s="113"/>
      <c r="B198" s="71" t="s">
        <v>137</v>
      </c>
      <c r="C198" s="143">
        <v>0</v>
      </c>
      <c r="D198" s="143"/>
      <c r="E198" s="143"/>
      <c r="F198" s="143"/>
      <c r="G198" s="143"/>
      <c r="H198" s="143"/>
      <c r="I198" s="143">
        <f t="shared" si="67"/>
        <v>0</v>
      </c>
      <c r="J198" s="237"/>
    </row>
    <row r="199" spans="1:15" x14ac:dyDescent="0.3">
      <c r="A199" s="67">
        <v>420</v>
      </c>
      <c r="B199" s="71" t="s">
        <v>138</v>
      </c>
      <c r="C199" s="143">
        <f>'24-25'!C199*1.03</f>
        <v>6556.362000000001</v>
      </c>
      <c r="D199" s="143"/>
      <c r="E199" s="143"/>
      <c r="F199" s="143"/>
      <c r="G199" s="143"/>
      <c r="H199" s="143"/>
      <c r="I199" s="143">
        <f t="shared" si="67"/>
        <v>6556.362000000001</v>
      </c>
      <c r="J199" s="225"/>
    </row>
    <row r="200" spans="1:15" ht="15" thickBot="1" x14ac:dyDescent="0.35">
      <c r="A200" s="74">
        <v>431</v>
      </c>
      <c r="B200" s="71" t="s">
        <v>139</v>
      </c>
      <c r="C200" s="143">
        <f>'24-25'!C200*1.03</f>
        <v>8195.4524999999994</v>
      </c>
      <c r="D200" s="143"/>
      <c r="E200" s="143"/>
      <c r="F200" s="143"/>
      <c r="G200" s="143"/>
      <c r="H200" s="143"/>
      <c r="I200" s="143">
        <f t="shared" si="67"/>
        <v>8195.4524999999994</v>
      </c>
      <c r="J200" s="225"/>
    </row>
    <row r="201" spans="1:15" ht="15" thickBot="1" x14ac:dyDescent="0.35">
      <c r="A201" s="95"/>
      <c r="B201" s="528" t="s">
        <v>452</v>
      </c>
      <c r="C201" s="483">
        <f>SUM(C190:C200)</f>
        <v>203911.69949999999</v>
      </c>
      <c r="D201" s="483">
        <f t="shared" ref="D201:I201" si="68">SUM(D190:D200)</f>
        <v>0</v>
      </c>
      <c r="E201" s="483">
        <f t="shared" si="68"/>
        <v>0</v>
      </c>
      <c r="F201" s="483">
        <f t="shared" si="68"/>
        <v>0</v>
      </c>
      <c r="G201" s="483">
        <f t="shared" si="68"/>
        <v>0</v>
      </c>
      <c r="H201" s="483">
        <f t="shared" si="68"/>
        <v>0</v>
      </c>
      <c r="I201" s="483">
        <f t="shared" si="68"/>
        <v>203911.69949999999</v>
      </c>
      <c r="J201" s="225"/>
    </row>
    <row r="202" spans="1:15" ht="15" thickBot="1" x14ac:dyDescent="0.35">
      <c r="A202" s="114"/>
      <c r="B202" s="530"/>
      <c r="C202" s="154"/>
      <c r="D202" s="154"/>
      <c r="E202" s="154"/>
      <c r="F202" s="154"/>
      <c r="G202" s="154"/>
      <c r="H202" s="154"/>
      <c r="I202" s="154"/>
      <c r="J202" s="225"/>
    </row>
    <row r="203" spans="1:15" ht="15" thickBot="1" x14ac:dyDescent="0.35">
      <c r="A203" s="116"/>
      <c r="B203" s="528" t="s">
        <v>453</v>
      </c>
      <c r="C203" s="531">
        <f>C136+C148+C163+C172+C177+C188+C201</f>
        <v>3118573.0613205577</v>
      </c>
      <c r="D203" s="531">
        <f t="shared" ref="D203:I203" si="69">D136+D148+D163+D172+D177+D188+D201</f>
        <v>286766.19112875004</v>
      </c>
      <c r="E203" s="531">
        <f t="shared" si="69"/>
        <v>430650.15</v>
      </c>
      <c r="F203" s="531">
        <f t="shared" si="69"/>
        <v>522509.27500000002</v>
      </c>
      <c r="G203" s="531">
        <f t="shared" si="69"/>
        <v>198067.02499999999</v>
      </c>
      <c r="H203" s="531">
        <f t="shared" si="69"/>
        <v>41388.75</v>
      </c>
      <c r="I203" s="531">
        <f t="shared" si="69"/>
        <v>4597954.4524493078</v>
      </c>
      <c r="J203" s="225"/>
      <c r="M203" s="221"/>
    </row>
    <row r="204" spans="1:15" x14ac:dyDescent="0.3">
      <c r="A204" s="78"/>
      <c r="B204" s="118"/>
      <c r="C204" s="157"/>
      <c r="D204" s="157"/>
      <c r="E204" s="157"/>
      <c r="F204" s="157"/>
      <c r="G204" s="157"/>
      <c r="H204" s="157"/>
      <c r="I204" s="157"/>
      <c r="J204" s="225"/>
    </row>
    <row r="205" spans="1:15" x14ac:dyDescent="0.3">
      <c r="A205" s="67"/>
      <c r="B205" s="533" t="s">
        <v>464</v>
      </c>
      <c r="C205" s="143">
        <v>0</v>
      </c>
      <c r="D205" s="143"/>
      <c r="E205" s="143"/>
      <c r="F205" s="143"/>
      <c r="G205" s="143"/>
      <c r="H205" s="143"/>
      <c r="I205" s="143"/>
      <c r="J205" s="225"/>
    </row>
    <row r="206" spans="1:15" x14ac:dyDescent="0.3">
      <c r="A206" s="67"/>
      <c r="B206" s="533" t="s">
        <v>142</v>
      </c>
      <c r="C206" s="143">
        <f>C19*(900*1.03)</f>
        <v>500580</v>
      </c>
      <c r="D206" s="143"/>
      <c r="E206" s="143"/>
      <c r="F206" s="143"/>
      <c r="G206" s="143"/>
      <c r="H206" s="143"/>
      <c r="I206" s="143">
        <f>SUM(C206:G206)</f>
        <v>500580</v>
      </c>
      <c r="K206" s="268"/>
      <c r="L206" s="238"/>
      <c r="M206" s="238"/>
      <c r="N206" s="238"/>
      <c r="O206" s="238"/>
    </row>
    <row r="207" spans="1:15" x14ac:dyDescent="0.3">
      <c r="A207" s="67"/>
      <c r="B207" s="533" t="s">
        <v>143</v>
      </c>
      <c r="C207" s="143">
        <v>0</v>
      </c>
      <c r="D207" s="143"/>
      <c r="E207" s="143"/>
      <c r="F207" s="143"/>
      <c r="G207" s="143"/>
      <c r="H207" s="143"/>
      <c r="I207" s="143">
        <f>SUM(C207:G207)</f>
        <v>0</v>
      </c>
      <c r="J207" s="225"/>
      <c r="K207" s="429"/>
    </row>
    <row r="208" spans="1:15" x14ac:dyDescent="0.3">
      <c r="A208" s="67"/>
      <c r="B208" s="533" t="s">
        <v>383</v>
      </c>
      <c r="C208" s="143">
        <v>0</v>
      </c>
      <c r="D208" s="143"/>
      <c r="E208" s="143"/>
      <c r="F208" s="143"/>
      <c r="G208" s="143"/>
      <c r="H208" s="143"/>
      <c r="I208" s="143">
        <f>SUM(C208:G208)</f>
        <v>0</v>
      </c>
      <c r="J208" s="430"/>
    </row>
    <row r="209" spans="1:10" x14ac:dyDescent="0.3">
      <c r="A209" s="67"/>
      <c r="B209" s="139"/>
      <c r="C209" s="143">
        <v>0</v>
      </c>
      <c r="D209" s="143">
        <v>0</v>
      </c>
      <c r="E209" s="143">
        <v>0</v>
      </c>
      <c r="F209" s="143">
        <v>0</v>
      </c>
      <c r="G209" s="143">
        <v>0</v>
      </c>
      <c r="H209" s="143"/>
      <c r="I209" s="143">
        <f>SUM(C209:G209)</f>
        <v>0</v>
      </c>
      <c r="J209" s="225"/>
    </row>
    <row r="210" spans="1:10" ht="15" thickBot="1" x14ac:dyDescent="0.35">
      <c r="A210" s="74"/>
      <c r="B210" s="62"/>
      <c r="C210" s="153"/>
      <c r="D210" s="153"/>
      <c r="E210" s="153"/>
      <c r="F210" s="153"/>
      <c r="G210" s="153"/>
      <c r="H210" s="153"/>
      <c r="I210" s="153"/>
      <c r="J210" s="225"/>
    </row>
    <row r="211" spans="1:10" ht="15" thickBot="1" x14ac:dyDescent="0.35">
      <c r="A211" s="116"/>
      <c r="B211" s="536" t="s">
        <v>145</v>
      </c>
      <c r="C211" s="537">
        <f>C85-C203-C205-C206-C208-C207</f>
        <v>474763.88878272986</v>
      </c>
      <c r="D211" s="538">
        <f t="shared" ref="D211:I211" si="70">D85-D203-D205-D206-D208-D207</f>
        <v>-68103.300828750012</v>
      </c>
      <c r="E211" s="538">
        <f t="shared" si="70"/>
        <v>-230580.15000000002</v>
      </c>
      <c r="F211" s="538">
        <f t="shared" si="70"/>
        <v>-76127.994999999995</v>
      </c>
      <c r="G211" s="538">
        <f t="shared" si="70"/>
        <v>-30883.024999999994</v>
      </c>
      <c r="H211" s="538">
        <f t="shared" si="70"/>
        <v>-3138.75</v>
      </c>
      <c r="I211" s="538">
        <f t="shared" si="70"/>
        <v>65930.667953980155</v>
      </c>
      <c r="J211" s="225"/>
    </row>
    <row r="212" spans="1:10" ht="15" thickBot="1" x14ac:dyDescent="0.35">
      <c r="A212" s="78"/>
      <c r="B212" s="123"/>
      <c r="C212" s="165">
        <f>C211/(C85-C74)</f>
        <v>0.11596812895062558</v>
      </c>
      <c r="D212" s="165">
        <f>D211/(D85-D74)</f>
        <v>-0.31145340087343576</v>
      </c>
      <c r="E212" s="165">
        <f>E211/(E85-E74)</f>
        <v>-1.1524973759184287</v>
      </c>
      <c r="F212" s="165" t="e">
        <f>F211/(F85-F74)</f>
        <v>#DIV/0!</v>
      </c>
      <c r="G212" s="165">
        <f>G211/(G85-G74)</f>
        <v>-0.18472476433151494</v>
      </c>
      <c r="H212" s="165"/>
      <c r="I212" s="165">
        <f>I211/(I85-I74)</f>
        <v>1.3974034837910935E-2</v>
      </c>
      <c r="J212" s="225"/>
    </row>
    <row r="213" spans="1:10" x14ac:dyDescent="0.3">
      <c r="B213" s="3" t="str">
        <f t="shared" ref="B213:G213" si="71">B1</f>
        <v>Young Women's Leadership Academy - FY24</v>
      </c>
      <c r="C213" s="3" t="str">
        <f t="shared" si="71"/>
        <v>Operating</v>
      </c>
      <c r="D213" s="3" t="str">
        <f t="shared" si="71"/>
        <v>Weights</v>
      </c>
      <c r="E213" s="3" t="str">
        <f t="shared" si="71"/>
        <v>SPED</v>
      </c>
      <c r="F213" s="3" t="str">
        <f t="shared" si="71"/>
        <v>NSLP</v>
      </c>
      <c r="G213" s="3" t="str">
        <f t="shared" si="71"/>
        <v>Title 1</v>
      </c>
      <c r="H213" s="3"/>
      <c r="I213" s="3" t="str">
        <f>I1</f>
        <v>Total</v>
      </c>
      <c r="J213" s="230"/>
    </row>
    <row r="214" spans="1:10" hidden="1" x14ac:dyDescent="0.3"/>
    <row r="215" spans="1:10" hidden="1" x14ac:dyDescent="0.3"/>
    <row r="216" spans="1:10" hidden="1" x14ac:dyDescent="0.3">
      <c r="A216" s="113"/>
      <c r="B216" s="126" t="s">
        <v>146</v>
      </c>
      <c r="C216" s="7"/>
      <c r="D216" s="7"/>
      <c r="E216" s="7"/>
      <c r="F216" s="7"/>
      <c r="G216" s="7"/>
      <c r="H216" s="7"/>
      <c r="I216" s="7"/>
    </row>
    <row r="217" spans="1:10" hidden="1" x14ac:dyDescent="0.3">
      <c r="A217" s="113"/>
      <c r="B217" s="126" t="s">
        <v>147</v>
      </c>
      <c r="C217" s="7"/>
      <c r="D217" s="7"/>
      <c r="E217" s="7"/>
      <c r="F217" s="7"/>
      <c r="G217" s="7"/>
      <c r="H217" s="7"/>
      <c r="I217" s="7"/>
    </row>
    <row r="218" spans="1:10" hidden="1" x14ac:dyDescent="0.3"/>
    <row r="219" spans="1:10" ht="15" thickBot="1" x14ac:dyDescent="0.35"/>
    <row r="220" spans="1:10" ht="15" thickBot="1" x14ac:dyDescent="0.35">
      <c r="A220" s="116"/>
      <c r="B220" s="122" t="s">
        <v>49</v>
      </c>
      <c r="C220" s="269">
        <f>C74-((C125*1.4725)+C179)</f>
        <v>0</v>
      </c>
      <c r="D220" s="269">
        <f>D74-((D125*1.4725)+D179)</f>
        <v>0</v>
      </c>
      <c r="E220" s="269">
        <f>E74-((E125*1.4775)+E179)</f>
        <v>0</v>
      </c>
      <c r="F220" s="269">
        <f>F74-((F125*1.4825)+F179)</f>
        <v>-66635.694999999949</v>
      </c>
      <c r="G220" s="269">
        <f>G74-((G125*1.4875)+G179)</f>
        <v>0</v>
      </c>
      <c r="H220" s="269"/>
      <c r="I220" s="269">
        <f>I74-((I125*1.4925)+I179)</f>
        <v>-66853.994999999995</v>
      </c>
    </row>
    <row r="221" spans="1:10" ht="15" thickBot="1" x14ac:dyDescent="0.35">
      <c r="A221" s="116"/>
      <c r="B221" s="122" t="s">
        <v>16</v>
      </c>
      <c r="C221" s="269">
        <f>(C75+C76)-(((C109+C118+C119+C120+C121+C122)*1.4725)+C146+C151)</f>
        <v>0</v>
      </c>
      <c r="D221" s="269">
        <f>(D75+D76)-(((D109+D118+D119+D120+D121+D122)*1.4725)+D146+D151)</f>
        <v>0</v>
      </c>
      <c r="E221" s="269">
        <f>(E75+E76)-(((E109+E118+E119+E120+E121+E122)*1.4775)+E146+E151)</f>
        <v>-183611.7</v>
      </c>
      <c r="F221" s="269">
        <f>(F75+F76)-(((F109+F118+F119+F120+F121+F122)*1.4825)+F146+F151)</f>
        <v>0</v>
      </c>
      <c r="G221" s="269">
        <f>(G75+G76)-(((G109+G118+G119+G120+G121+G122)*1.4875)+G146+G151)</f>
        <v>0</v>
      </c>
      <c r="H221" s="269"/>
      <c r="I221" s="269">
        <f>(I75+I76)-(((I109+I118+I119+I120+I121+I122)*1.4925)+I146+I151)</f>
        <v>-185996.7</v>
      </c>
    </row>
    <row r="225" spans="2:9" x14ac:dyDescent="0.3">
      <c r="B225" s="246" t="s">
        <v>195</v>
      </c>
      <c r="C225" s="247"/>
      <c r="D225" s="247"/>
      <c r="E225" s="247"/>
      <c r="F225" s="247"/>
      <c r="G225" s="247"/>
      <c r="H225" s="247"/>
      <c r="I225" s="247">
        <f>I85-I203</f>
        <v>566510.66795398016</v>
      </c>
    </row>
    <row r="226" spans="2:9" x14ac:dyDescent="0.3">
      <c r="C226" s="248"/>
      <c r="D226" s="248"/>
      <c r="E226" s="248"/>
      <c r="F226" s="248"/>
      <c r="G226" s="248"/>
      <c r="H226" s="248"/>
      <c r="I226" s="248"/>
    </row>
    <row r="227" spans="2:9" x14ac:dyDescent="0.3">
      <c r="B227" s="62" t="str">
        <f>B206</f>
        <v>Scheduled Lease Payment</v>
      </c>
      <c r="C227" s="249"/>
      <c r="D227" s="249"/>
      <c r="E227" s="249"/>
      <c r="F227" s="249"/>
      <c r="G227" s="249"/>
      <c r="H227" s="249"/>
      <c r="I227" s="249">
        <f t="shared" ref="I227:I229" si="72">I206</f>
        <v>500580</v>
      </c>
    </row>
    <row r="228" spans="2:9" x14ac:dyDescent="0.3">
      <c r="B228" s="62" t="str">
        <f t="shared" ref="B228:B229" si="73">B207</f>
        <v>Scheduled Bond Payment</v>
      </c>
      <c r="C228" s="249"/>
      <c r="D228" s="249"/>
      <c r="E228" s="249"/>
      <c r="F228" s="249"/>
      <c r="G228" s="249"/>
      <c r="H228" s="249"/>
      <c r="I228" s="249">
        <f t="shared" si="72"/>
        <v>0</v>
      </c>
    </row>
    <row r="229" spans="2:9" x14ac:dyDescent="0.3">
      <c r="B229" s="62" t="str">
        <f t="shared" si="73"/>
        <v>Improvements / Loan</v>
      </c>
      <c r="C229" s="249"/>
      <c r="D229" s="249"/>
      <c r="E229" s="249"/>
      <c r="F229" s="249"/>
      <c r="G229" s="249"/>
      <c r="H229" s="249"/>
      <c r="I229" s="249">
        <f t="shared" si="72"/>
        <v>0</v>
      </c>
    </row>
    <row r="230" spans="2:9" x14ac:dyDescent="0.3">
      <c r="B230" s="251" t="s">
        <v>196</v>
      </c>
      <c r="C230" s="252"/>
      <c r="D230" s="252"/>
      <c r="E230" s="252"/>
      <c r="F230" s="252"/>
      <c r="G230" s="252"/>
      <c r="H230" s="252"/>
      <c r="I230" s="252">
        <f t="shared" ref="I230" si="74">SUM(I227:I229)</f>
        <v>500580</v>
      </c>
    </row>
    <row r="231" spans="2:9" x14ac:dyDescent="0.3">
      <c r="C231" s="248"/>
      <c r="D231" s="248"/>
      <c r="E231" s="248"/>
      <c r="F231" s="248"/>
      <c r="G231" s="248"/>
      <c r="H231" s="248"/>
      <c r="I231" s="248"/>
    </row>
    <row r="232" spans="2:9" x14ac:dyDescent="0.3">
      <c r="B232" s="246" t="s">
        <v>197</v>
      </c>
      <c r="C232" s="253"/>
      <c r="D232" s="253"/>
      <c r="E232" s="253"/>
      <c r="F232" s="253"/>
      <c r="G232" s="253"/>
      <c r="H232" s="253"/>
      <c r="I232" s="253">
        <f t="shared" ref="I232" si="75">I225/I230</f>
        <v>1.1317085539853373</v>
      </c>
    </row>
    <row r="233" spans="2:9" x14ac:dyDescent="0.3">
      <c r="C233" s="248"/>
      <c r="D233" s="248"/>
      <c r="E233" s="248"/>
      <c r="F233" s="248"/>
      <c r="G233" s="248"/>
      <c r="H233" s="248"/>
      <c r="I233" s="248"/>
    </row>
    <row r="234" spans="2:9" x14ac:dyDescent="0.3">
      <c r="B234" s="254" t="s">
        <v>198</v>
      </c>
      <c r="C234" s="254"/>
      <c r="D234" s="254"/>
      <c r="E234" s="254"/>
      <c r="F234" s="254"/>
      <c r="G234" s="254"/>
      <c r="H234" s="254"/>
      <c r="I234" s="254"/>
    </row>
    <row r="235" spans="2:9" x14ac:dyDescent="0.3">
      <c r="B235" s="62" t="s">
        <v>199</v>
      </c>
      <c r="C235" s="255"/>
      <c r="D235" s="255"/>
      <c r="E235" s="255"/>
      <c r="F235" s="255"/>
      <c r="G235" s="255"/>
      <c r="H235" s="255"/>
      <c r="I235" s="255">
        <f t="shared" ref="I235" si="76">G238</f>
        <v>0</v>
      </c>
    </row>
    <row r="236" spans="2:9" x14ac:dyDescent="0.3">
      <c r="B236" s="248" t="s">
        <v>200</v>
      </c>
      <c r="C236" s="256"/>
      <c r="D236" s="256"/>
      <c r="E236" s="256"/>
      <c r="F236" s="256"/>
      <c r="G236" s="256"/>
      <c r="H236" s="256"/>
      <c r="I236" s="256">
        <v>0</v>
      </c>
    </row>
    <row r="237" spans="2:9" x14ac:dyDescent="0.3">
      <c r="B237" s="248" t="s">
        <v>201</v>
      </c>
      <c r="C237" s="256"/>
      <c r="D237" s="256"/>
      <c r="E237" s="256"/>
      <c r="F237" s="256"/>
      <c r="G237" s="256"/>
      <c r="H237" s="256"/>
      <c r="I237" s="256">
        <f t="shared" ref="I237" si="77">I211</f>
        <v>65930.667953980155</v>
      </c>
    </row>
    <row r="238" spans="2:9" x14ac:dyDescent="0.3">
      <c r="B238" s="257" t="s">
        <v>202</v>
      </c>
      <c r="C238" s="258"/>
      <c r="D238" s="258"/>
      <c r="E238" s="258"/>
      <c r="F238" s="258"/>
      <c r="G238" s="258"/>
      <c r="H238" s="258"/>
      <c r="I238" s="258">
        <f t="shared" ref="I238" si="78">I235+I236+I237</f>
        <v>65930.667953980155</v>
      </c>
    </row>
    <row r="239" spans="2:9" x14ac:dyDescent="0.3">
      <c r="B239" s="246" t="s">
        <v>203</v>
      </c>
      <c r="C239" s="253"/>
      <c r="D239" s="253"/>
      <c r="E239" s="253"/>
      <c r="F239" s="253"/>
      <c r="G239" s="253"/>
      <c r="H239" s="253"/>
      <c r="I239" s="253">
        <f t="shared" ref="I239" si="79">I238/((SUM(I203:I209))/365)</f>
        <v>4.7199237403686096</v>
      </c>
    </row>
    <row r="241" spans="2:11" x14ac:dyDescent="0.3">
      <c r="D241" s="261"/>
      <c r="E241" s="261"/>
      <c r="F241" s="261"/>
      <c r="G241" s="261"/>
      <c r="H241" s="261"/>
      <c r="I241" s="261"/>
    </row>
    <row r="242" spans="2:11" x14ac:dyDescent="0.3">
      <c r="B242" s="377" t="s">
        <v>308</v>
      </c>
      <c r="C242" s="261"/>
      <c r="D242" s="435"/>
      <c r="E242" s="435"/>
      <c r="F242" s="435"/>
      <c r="G242" s="435"/>
      <c r="H242" s="435"/>
      <c r="I242" s="261">
        <f>I128/SUM(I203:I208)</f>
        <v>0.38583539570963776</v>
      </c>
      <c r="J242" s="219"/>
      <c r="K242" s="223"/>
    </row>
    <row r="243" spans="2:11" x14ac:dyDescent="0.3">
      <c r="B243" s="377" t="s">
        <v>231</v>
      </c>
      <c r="C243" s="261"/>
      <c r="D243" s="435"/>
      <c r="E243" s="435"/>
      <c r="F243" s="435"/>
      <c r="G243" s="435"/>
      <c r="H243" s="435"/>
      <c r="I243" s="261">
        <f>SUM(I129:I132)/SUM(I203:I208)</f>
        <v>0.19940039153341549</v>
      </c>
      <c r="J243" s="219"/>
      <c r="K243" s="223"/>
    </row>
    <row r="244" spans="2:11" x14ac:dyDescent="0.3">
      <c r="B244" s="377" t="s">
        <v>93</v>
      </c>
      <c r="C244" s="261"/>
      <c r="D244" s="435"/>
      <c r="E244" s="435"/>
      <c r="F244" s="435"/>
      <c r="G244" s="435"/>
      <c r="H244" s="435"/>
      <c r="I244" s="261">
        <f t="shared" ref="I244" si="80">I154/SUM(I203:I208)</f>
        <v>2.1770962035311189E-3</v>
      </c>
      <c r="J244" s="219"/>
      <c r="K244" s="223"/>
    </row>
    <row r="245" spans="2:11" x14ac:dyDescent="0.3">
      <c r="B245" s="377" t="s">
        <v>309</v>
      </c>
      <c r="C245" s="261"/>
      <c r="D245" s="435"/>
      <c r="E245" s="435"/>
      <c r="F245" s="435"/>
      <c r="G245" s="435"/>
      <c r="H245" s="435"/>
      <c r="I245" s="261">
        <f t="shared" ref="I245" si="81">(I152+I153+I160+I162)/SUM(I203:I208)</f>
        <v>5.917770833255271E-2</v>
      </c>
      <c r="J245" s="219"/>
      <c r="K245" s="223"/>
    </row>
    <row r="246" spans="2:11" x14ac:dyDescent="0.3">
      <c r="B246" s="377" t="s">
        <v>310</v>
      </c>
      <c r="C246" s="261"/>
      <c r="D246" s="435"/>
      <c r="E246" s="435"/>
      <c r="F246" s="435"/>
      <c r="G246" s="435"/>
      <c r="H246" s="435"/>
      <c r="I246" s="261">
        <f>(I151+I150+I134)/SUM(I203:I208)</f>
        <v>3.8441438775773121E-2</v>
      </c>
      <c r="J246" s="219"/>
      <c r="K246" s="223"/>
    </row>
    <row r="247" spans="2:11" x14ac:dyDescent="0.3">
      <c r="B247" s="377" t="s">
        <v>311</v>
      </c>
      <c r="C247" s="261"/>
      <c r="D247" s="435"/>
      <c r="E247" s="435"/>
      <c r="F247" s="435"/>
      <c r="G247" s="435"/>
      <c r="H247" s="435"/>
      <c r="I247" s="261">
        <f t="shared" ref="I247" si="82">(I170+I140)/SUM(I203:I208)</f>
        <v>1.5475035176450927E-2</v>
      </c>
      <c r="J247" s="219"/>
      <c r="K247" s="223"/>
    </row>
    <row r="248" spans="2:11" x14ac:dyDescent="0.3">
      <c r="B248" s="377" t="s">
        <v>79</v>
      </c>
      <c r="C248" s="261"/>
      <c r="D248" s="435"/>
      <c r="E248" s="435"/>
      <c r="F248" s="435"/>
      <c r="G248" s="435"/>
      <c r="H248" s="435"/>
      <c r="I248" s="261">
        <f>(I138+I142+I143+I144+I145+I146)/SUM(I203:I208)</f>
        <v>2.6523151164554091E-2</v>
      </c>
      <c r="J248" s="219"/>
      <c r="K248" s="223"/>
    </row>
    <row r="249" spans="2:11" x14ac:dyDescent="0.3">
      <c r="B249" s="377" t="s">
        <v>312</v>
      </c>
      <c r="C249" s="261"/>
      <c r="D249" s="435"/>
      <c r="E249" s="435"/>
      <c r="F249" s="435"/>
      <c r="G249" s="435"/>
      <c r="H249" s="435"/>
      <c r="I249" s="261">
        <f>(I177+I201+I206+I207+I208)/SUM(I203:I208)</f>
        <v>0.1448322466753679</v>
      </c>
      <c r="J249" s="219"/>
      <c r="K249" s="223"/>
    </row>
    <row r="250" spans="2:11" x14ac:dyDescent="0.3">
      <c r="B250" s="377" t="s">
        <v>49</v>
      </c>
      <c r="C250" s="261"/>
      <c r="D250" s="435"/>
      <c r="E250" s="435"/>
      <c r="F250" s="435"/>
      <c r="G250" s="435"/>
      <c r="H250" s="435"/>
      <c r="I250" s="261">
        <f t="shared" ref="I250" si="83">(I179)/SUM(I203:I208)</f>
        <v>9.427297284793211E-2</v>
      </c>
      <c r="J250" s="261"/>
      <c r="K250" s="223"/>
    </row>
    <row r="251" spans="2:11" x14ac:dyDescent="0.3">
      <c r="B251" s="377" t="s">
        <v>171</v>
      </c>
      <c r="C251" s="261"/>
      <c r="D251" s="435"/>
      <c r="E251" s="435"/>
      <c r="F251" s="435"/>
      <c r="G251" s="435"/>
      <c r="H251" s="435"/>
      <c r="I251" s="261">
        <f t="shared" ref="I251" si="84">(I147)/SUM(I203:I208)</f>
        <v>0</v>
      </c>
      <c r="J251" s="219"/>
      <c r="K251" s="223"/>
    </row>
    <row r="252" spans="2:11" x14ac:dyDescent="0.3">
      <c r="B252" s="377" t="s">
        <v>313</v>
      </c>
      <c r="C252" s="261"/>
      <c r="D252" s="435"/>
      <c r="E252" s="435"/>
      <c r="F252" s="435"/>
      <c r="G252" s="435"/>
      <c r="H252" s="435"/>
      <c r="I252" s="261">
        <f t="shared" ref="I252" si="85">I181/SUM(I203:I208)</f>
        <v>9.8067396555455801E-4</v>
      </c>
      <c r="J252" s="219"/>
      <c r="K252" s="223"/>
    </row>
    <row r="253" spans="2:11" x14ac:dyDescent="0.3">
      <c r="B253" s="377" t="s">
        <v>314</v>
      </c>
      <c r="C253" s="261"/>
      <c r="D253" s="435"/>
      <c r="E253" s="435"/>
      <c r="F253" s="435"/>
      <c r="G253" s="435"/>
      <c r="H253" s="435"/>
      <c r="I253" s="261">
        <f t="shared" ref="I253" si="86">(I155+I156)/SUM(I203:I208)</f>
        <v>5.3054461536501587E-3</v>
      </c>
      <c r="J253" s="219"/>
      <c r="K253" s="223"/>
    </row>
    <row r="254" spans="2:11" x14ac:dyDescent="0.3">
      <c r="B254" s="377" t="s">
        <v>315</v>
      </c>
      <c r="C254" s="261"/>
      <c r="D254" s="435"/>
      <c r="E254" s="435"/>
      <c r="F254" s="435"/>
      <c r="G254" s="435"/>
      <c r="H254" s="435"/>
      <c r="I254" s="261">
        <f t="shared" ref="I254" si="87">(I157+I158+I165+I166+I167+I169+I171)/SUM(I203:I208)</f>
        <v>1.1421942039054802E-2</v>
      </c>
      <c r="J254" s="219"/>
      <c r="K254" s="223"/>
    </row>
    <row r="255" spans="2:11" x14ac:dyDescent="0.3">
      <c r="B255" s="377" t="s">
        <v>116</v>
      </c>
      <c r="C255" s="261"/>
      <c r="D255" s="435"/>
      <c r="E255" s="435"/>
      <c r="F255" s="435"/>
      <c r="G255" s="435"/>
      <c r="H255" s="435"/>
      <c r="I255" s="261">
        <f>(I159+I168+I180+I182+I183+I185+I187+I133+I186)/SUM(I203:I208)</f>
        <v>1.615650142252522E-2</v>
      </c>
      <c r="J255" s="261"/>
      <c r="K255" s="223"/>
    </row>
    <row r="256" spans="2:11" x14ac:dyDescent="0.3">
      <c r="B256"/>
      <c r="C256"/>
      <c r="D256"/>
      <c r="E256"/>
      <c r="F256"/>
      <c r="G256"/>
      <c r="H256"/>
      <c r="I256"/>
      <c r="J256" s="219"/>
    </row>
    <row r="257" spans="2:11" x14ac:dyDescent="0.3">
      <c r="B257"/>
      <c r="C257" s="378"/>
      <c r="D257" s="378"/>
      <c r="E257" s="378"/>
      <c r="F257" s="378"/>
      <c r="G257" s="378"/>
      <c r="H257" s="378"/>
      <c r="I257" s="378">
        <f>SUM(I242:I256)</f>
        <v>0.99999999999999989</v>
      </c>
      <c r="J257" s="219"/>
      <c r="K257" s="378"/>
    </row>
    <row r="259" spans="2:11" x14ac:dyDescent="0.3">
      <c r="D259" s="379"/>
      <c r="E259" s="379"/>
      <c r="F259" s="379"/>
      <c r="G259" s="379"/>
      <c r="H259" s="379"/>
      <c r="I259" s="379"/>
    </row>
  </sheetData>
  <pageMargins left="0.7" right="0.7" top="0.75" bottom="0.75" header="0.3" footer="0.3"/>
  <pageSetup scale="51" orientation="portrait" r:id="rId1"/>
  <rowBreaks count="2" manualBreakCount="2">
    <brk id="70" max="8" man="1"/>
    <brk id="148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259"/>
  <sheetViews>
    <sheetView topLeftCell="A171" zoomScale="75" zoomScaleNormal="75" workbookViewId="0">
      <selection activeCell="B205" sqref="B205"/>
    </sheetView>
  </sheetViews>
  <sheetFormatPr defaultColWidth="8.77734375" defaultRowHeight="14.4" x14ac:dyDescent="0.3"/>
  <cols>
    <col min="1" max="1" width="8.77734375" style="5"/>
    <col min="2" max="2" width="56.5546875" style="219" customWidth="1"/>
    <col min="3" max="9" width="15.77734375" style="125" customWidth="1"/>
    <col min="10" max="10" width="15.109375" style="240" customWidth="1"/>
    <col min="11" max="11" width="12.21875" style="219" bestFit="1" customWidth="1"/>
    <col min="12" max="12" width="14.44140625" style="219" customWidth="1"/>
    <col min="13" max="13" width="13.33203125" style="219" bestFit="1" customWidth="1"/>
    <col min="14" max="15" width="11.109375" style="219" bestFit="1" customWidth="1"/>
    <col min="16" max="16384" width="8.77734375" style="219"/>
  </cols>
  <sheetData>
    <row r="1" spans="1:16" s="2" customFormat="1" ht="15" thickBot="1" x14ac:dyDescent="0.35">
      <c r="A1" s="1"/>
      <c r="B1" s="3" t="s">
        <v>389</v>
      </c>
      <c r="C1" s="3" t="s">
        <v>386</v>
      </c>
      <c r="D1" s="3" t="s">
        <v>376</v>
      </c>
      <c r="E1" s="3" t="s">
        <v>16</v>
      </c>
      <c r="F1" s="3" t="s">
        <v>49</v>
      </c>
      <c r="G1" s="3" t="s">
        <v>393</v>
      </c>
      <c r="H1" s="3" t="s">
        <v>394</v>
      </c>
      <c r="I1" s="3" t="s">
        <v>158</v>
      </c>
      <c r="J1" s="224"/>
      <c r="K1" s="3">
        <v>7197</v>
      </c>
      <c r="L1" s="241" t="s">
        <v>148</v>
      </c>
    </row>
    <row r="2" spans="1:16" x14ac:dyDescent="0.3">
      <c r="B2" s="6" t="s">
        <v>329</v>
      </c>
      <c r="C2" s="140">
        <f>'25-26'!I2*1.013</f>
        <v>7679.8849452863515</v>
      </c>
      <c r="D2" s="140"/>
      <c r="E2" s="140"/>
      <c r="F2" s="140"/>
      <c r="G2" s="140"/>
      <c r="H2" s="140"/>
      <c r="I2" s="140">
        <f>SUM(C2:H2)</f>
        <v>7679.8849452863515</v>
      </c>
      <c r="J2" s="168"/>
      <c r="K2" s="169">
        <f>(I2-K1)/K1</f>
        <v>6.7095309891114563E-2</v>
      </c>
      <c r="L2" s="169"/>
      <c r="M2" s="169"/>
      <c r="N2" s="169"/>
    </row>
    <row r="3" spans="1:16" hidden="1" x14ac:dyDescent="0.3">
      <c r="B3" s="9"/>
      <c r="C3" s="157"/>
      <c r="D3" s="157"/>
      <c r="E3" s="157"/>
      <c r="F3" s="157"/>
      <c r="G3" s="157"/>
      <c r="H3" s="157"/>
      <c r="I3" s="157"/>
      <c r="J3" s="168"/>
      <c r="K3" s="169"/>
      <c r="L3" s="169"/>
      <c r="M3" s="169"/>
      <c r="N3" s="169"/>
    </row>
    <row r="4" spans="1:16" hidden="1" x14ac:dyDescent="0.3">
      <c r="B4" s="9"/>
      <c r="C4" s="157"/>
      <c r="D4" s="157"/>
      <c r="E4" s="157"/>
      <c r="F4" s="157"/>
      <c r="G4" s="157"/>
      <c r="H4" s="157"/>
      <c r="I4" s="157"/>
      <c r="J4" s="168"/>
      <c r="K4" s="169"/>
      <c r="L4" s="169"/>
      <c r="M4" s="169"/>
      <c r="N4" s="169"/>
    </row>
    <row r="5" spans="1:16" x14ac:dyDescent="0.3">
      <c r="B5" s="9" t="s">
        <v>1</v>
      </c>
      <c r="C5" s="141">
        <f t="shared" ref="C5" si="0">C6+C7+C8+C9+C10+C11+C12+C13+C14+C15+C16+C17+C18</f>
        <v>570</v>
      </c>
      <c r="D5" s="141"/>
      <c r="E5" s="141"/>
      <c r="F5" s="141"/>
      <c r="G5" s="141"/>
      <c r="H5" s="141"/>
      <c r="I5" s="141">
        <f t="shared" ref="I5:I18" si="1">SUM(C5:H5)</f>
        <v>570</v>
      </c>
      <c r="J5" s="225"/>
    </row>
    <row r="6" spans="1:16" x14ac:dyDescent="0.3">
      <c r="B6" s="12" t="s">
        <v>2</v>
      </c>
      <c r="C6" s="142">
        <v>0</v>
      </c>
      <c r="D6" s="142"/>
      <c r="E6" s="142"/>
      <c r="F6" s="142"/>
      <c r="G6" s="142"/>
      <c r="H6" s="142"/>
      <c r="I6" s="142">
        <f t="shared" si="1"/>
        <v>0</v>
      </c>
      <c r="J6" s="225"/>
      <c r="K6" s="166">
        <f t="shared" ref="K6:K11" si="2">I6/28</f>
        <v>0</v>
      </c>
      <c r="L6" s="166"/>
      <c r="M6" s="166"/>
      <c r="N6" s="166"/>
      <c r="P6" s="166"/>
    </row>
    <row r="7" spans="1:16" x14ac:dyDescent="0.3">
      <c r="B7" s="15" t="s">
        <v>3</v>
      </c>
      <c r="C7" s="142">
        <v>0</v>
      </c>
      <c r="D7" s="142"/>
      <c r="E7" s="142"/>
      <c r="F7" s="142"/>
      <c r="G7" s="142"/>
      <c r="H7" s="142"/>
      <c r="I7" s="142">
        <f t="shared" si="1"/>
        <v>0</v>
      </c>
      <c r="J7" s="225"/>
      <c r="K7" s="166">
        <f t="shared" si="2"/>
        <v>0</v>
      </c>
      <c r="L7" s="166"/>
      <c r="M7" s="166"/>
      <c r="N7" s="166"/>
      <c r="P7" s="166"/>
    </row>
    <row r="8" spans="1:16" x14ac:dyDescent="0.3">
      <c r="B8" s="15" t="s">
        <v>4</v>
      </c>
      <c r="C8" s="142">
        <v>0</v>
      </c>
      <c r="D8" s="142"/>
      <c r="E8" s="142"/>
      <c r="F8" s="142"/>
      <c r="G8" s="142"/>
      <c r="H8" s="142"/>
      <c r="I8" s="142">
        <f t="shared" si="1"/>
        <v>0</v>
      </c>
      <c r="J8" s="225"/>
      <c r="K8" s="166">
        <f t="shared" si="2"/>
        <v>0</v>
      </c>
      <c r="L8" s="166"/>
      <c r="M8" s="166"/>
      <c r="N8" s="166"/>
      <c r="P8" s="166"/>
    </row>
    <row r="9" spans="1:16" x14ac:dyDescent="0.3">
      <c r="B9" s="16" t="s">
        <v>5</v>
      </c>
      <c r="C9" s="142">
        <v>0</v>
      </c>
      <c r="D9" s="142"/>
      <c r="E9" s="142"/>
      <c r="F9" s="142"/>
      <c r="G9" s="142"/>
      <c r="H9" s="142"/>
      <c r="I9" s="142">
        <f t="shared" si="1"/>
        <v>0</v>
      </c>
      <c r="J9" s="225"/>
      <c r="K9" s="166">
        <f t="shared" si="2"/>
        <v>0</v>
      </c>
      <c r="L9" s="166"/>
      <c r="M9" s="166"/>
      <c r="N9" s="166"/>
      <c r="P9" s="166"/>
    </row>
    <row r="10" spans="1:16" x14ac:dyDescent="0.3">
      <c r="B10" s="16" t="s">
        <v>6</v>
      </c>
      <c r="C10" s="142">
        <v>0</v>
      </c>
      <c r="D10" s="142"/>
      <c r="E10" s="142"/>
      <c r="F10" s="142"/>
      <c r="G10" s="142"/>
      <c r="H10" s="142"/>
      <c r="I10" s="142">
        <f t="shared" si="1"/>
        <v>0</v>
      </c>
      <c r="J10" s="225"/>
      <c r="K10" s="166">
        <f t="shared" si="2"/>
        <v>0</v>
      </c>
      <c r="L10" s="166"/>
      <c r="M10" s="166"/>
      <c r="N10" s="166"/>
      <c r="P10" s="166"/>
    </row>
    <row r="11" spans="1:16" x14ac:dyDescent="0.3">
      <c r="B11" s="16" t="s">
        <v>7</v>
      </c>
      <c r="C11" s="142">
        <v>0</v>
      </c>
      <c r="D11" s="142"/>
      <c r="E11" s="142"/>
      <c r="F11" s="142"/>
      <c r="G11" s="142"/>
      <c r="H11" s="142"/>
      <c r="I11" s="142">
        <f t="shared" si="1"/>
        <v>0</v>
      </c>
      <c r="J11" s="225"/>
      <c r="K11" s="166">
        <f t="shared" si="2"/>
        <v>0</v>
      </c>
      <c r="L11" s="166"/>
      <c r="M11" s="166"/>
      <c r="N11" s="166"/>
      <c r="P11" s="166"/>
    </row>
    <row r="12" spans="1:16" x14ac:dyDescent="0.3">
      <c r="B12" s="16" t="s">
        <v>8</v>
      </c>
      <c r="C12" s="143">
        <f>30*3</f>
        <v>90</v>
      </c>
      <c r="D12" s="143"/>
      <c r="E12" s="143"/>
      <c r="F12" s="143"/>
      <c r="G12" s="143"/>
      <c r="H12" s="143"/>
      <c r="I12" s="142">
        <f t="shared" si="1"/>
        <v>90</v>
      </c>
      <c r="J12" s="225"/>
      <c r="K12" s="166">
        <f>I12/30</f>
        <v>3</v>
      </c>
      <c r="L12" s="166"/>
      <c r="M12" s="166"/>
      <c r="N12" s="166"/>
      <c r="P12" s="166"/>
    </row>
    <row r="13" spans="1:16" x14ac:dyDescent="0.3">
      <c r="B13" s="16" t="s">
        <v>9</v>
      </c>
      <c r="C13" s="143">
        <f t="shared" ref="C13:C14" si="3">30*3</f>
        <v>90</v>
      </c>
      <c r="D13" s="143"/>
      <c r="E13" s="143"/>
      <c r="F13" s="143"/>
      <c r="G13" s="143"/>
      <c r="H13" s="143"/>
      <c r="I13" s="142">
        <f t="shared" si="1"/>
        <v>90</v>
      </c>
      <c r="J13" s="225"/>
      <c r="K13" s="166">
        <f t="shared" ref="K13:K18" si="4">I13/30</f>
        <v>3</v>
      </c>
      <c r="L13" s="166"/>
      <c r="M13" s="166"/>
      <c r="N13" s="166"/>
      <c r="P13" s="166"/>
    </row>
    <row r="14" spans="1:16" x14ac:dyDescent="0.3">
      <c r="B14" s="16" t="s">
        <v>10</v>
      </c>
      <c r="C14" s="143">
        <f t="shared" si="3"/>
        <v>90</v>
      </c>
      <c r="D14" s="143"/>
      <c r="E14" s="143"/>
      <c r="F14" s="143"/>
      <c r="G14" s="143"/>
      <c r="H14" s="143"/>
      <c r="I14" s="142">
        <f t="shared" si="1"/>
        <v>90</v>
      </c>
      <c r="J14" s="225"/>
      <c r="K14" s="166">
        <f t="shared" si="4"/>
        <v>3</v>
      </c>
      <c r="L14" s="166"/>
      <c r="M14" s="166"/>
      <c r="N14" s="166"/>
      <c r="P14" s="166"/>
    </row>
    <row r="15" spans="1:16" x14ac:dyDescent="0.3">
      <c r="B15" s="16" t="s">
        <v>11</v>
      </c>
      <c r="C15" s="143">
        <f>30*3</f>
        <v>90</v>
      </c>
      <c r="D15" s="143"/>
      <c r="E15" s="143"/>
      <c r="F15" s="143"/>
      <c r="G15" s="143"/>
      <c r="H15" s="143"/>
      <c r="I15" s="142">
        <f t="shared" si="1"/>
        <v>90</v>
      </c>
      <c r="J15" s="225"/>
      <c r="K15" s="166">
        <f t="shared" si="4"/>
        <v>3</v>
      </c>
      <c r="L15" s="166"/>
      <c r="M15" s="166"/>
      <c r="N15" s="166"/>
    </row>
    <row r="16" spans="1:16" x14ac:dyDescent="0.3">
      <c r="B16" s="16" t="s">
        <v>12</v>
      </c>
      <c r="C16" s="143">
        <f>30*3</f>
        <v>90</v>
      </c>
      <c r="D16" s="143"/>
      <c r="E16" s="143"/>
      <c r="F16" s="143"/>
      <c r="G16" s="143"/>
      <c r="H16" s="143"/>
      <c r="I16" s="142">
        <f t="shared" si="1"/>
        <v>90</v>
      </c>
      <c r="J16" s="225"/>
      <c r="K16" s="166">
        <f t="shared" si="4"/>
        <v>3</v>
      </c>
      <c r="L16" s="166"/>
      <c r="M16" s="166"/>
      <c r="N16" s="166"/>
    </row>
    <row r="17" spans="1:14" x14ac:dyDescent="0.3">
      <c r="B17" s="16" t="s">
        <v>13</v>
      </c>
      <c r="C17" s="143">
        <f t="shared" ref="C17:C18" si="5">30*2</f>
        <v>60</v>
      </c>
      <c r="D17" s="143"/>
      <c r="E17" s="143"/>
      <c r="F17" s="143"/>
      <c r="G17" s="143"/>
      <c r="H17" s="143"/>
      <c r="I17" s="142">
        <f t="shared" si="1"/>
        <v>60</v>
      </c>
      <c r="J17" s="225"/>
      <c r="K17" s="166">
        <f t="shared" si="4"/>
        <v>2</v>
      </c>
      <c r="L17" s="166"/>
      <c r="M17" s="166"/>
      <c r="N17" s="166"/>
    </row>
    <row r="18" spans="1:14" x14ac:dyDescent="0.3">
      <c r="B18" s="16" t="s">
        <v>14</v>
      </c>
      <c r="C18" s="143">
        <f t="shared" si="5"/>
        <v>60</v>
      </c>
      <c r="D18" s="143"/>
      <c r="E18" s="143"/>
      <c r="F18" s="143"/>
      <c r="G18" s="143"/>
      <c r="H18" s="143"/>
      <c r="I18" s="142">
        <f t="shared" si="1"/>
        <v>60</v>
      </c>
      <c r="J18" s="225"/>
      <c r="K18" s="166">
        <f t="shared" si="4"/>
        <v>2</v>
      </c>
      <c r="L18" s="166"/>
      <c r="M18" s="166"/>
      <c r="N18" s="166"/>
    </row>
    <row r="19" spans="1:14" x14ac:dyDescent="0.3">
      <c r="B19" s="16" t="s">
        <v>1</v>
      </c>
      <c r="C19" s="141">
        <f t="shared" ref="C19" si="6">SUM(C6:C18)</f>
        <v>570</v>
      </c>
      <c r="D19" s="141">
        <f t="shared" ref="D19:G19" si="7">SUM(D6:D18)</f>
        <v>0</v>
      </c>
      <c r="E19" s="141">
        <f t="shared" si="7"/>
        <v>0</v>
      </c>
      <c r="F19" s="141">
        <f t="shared" si="7"/>
        <v>0</v>
      </c>
      <c r="G19" s="141">
        <f t="shared" si="7"/>
        <v>0</v>
      </c>
      <c r="H19" s="141"/>
      <c r="I19" s="141">
        <f>SUM(I6:I18)</f>
        <v>570</v>
      </c>
      <c r="J19" s="225"/>
      <c r="K19" s="220">
        <f>SUM(K6:K18)</f>
        <v>19</v>
      </c>
      <c r="L19" s="220">
        <f>I19-'25-26'!I19</f>
        <v>30</v>
      </c>
      <c r="M19" s="220"/>
      <c r="N19" s="220"/>
    </row>
    <row r="20" spans="1:14" x14ac:dyDescent="0.3">
      <c r="B20" s="17"/>
      <c r="C20" s="366"/>
      <c r="D20" s="143"/>
      <c r="E20" s="366"/>
      <c r="F20" s="366"/>
      <c r="G20" s="366"/>
      <c r="H20" s="366"/>
      <c r="I20" s="366"/>
      <c r="J20" s="226"/>
      <c r="K20" s="219" t="b">
        <f>ROUND(K19,0)=ROUND(I29,0)</f>
        <v>1</v>
      </c>
    </row>
    <row r="21" spans="1:14" x14ac:dyDescent="0.3">
      <c r="B21" s="19" t="s">
        <v>15</v>
      </c>
      <c r="C21" s="144"/>
      <c r="D21" s="144"/>
      <c r="E21" s="144"/>
      <c r="F21" s="144"/>
      <c r="G21" s="144"/>
      <c r="H21" s="144"/>
      <c r="I21" s="144"/>
      <c r="J21" s="226"/>
    </row>
    <row r="22" spans="1:14" x14ac:dyDescent="0.3">
      <c r="B22" s="411" t="s">
        <v>336</v>
      </c>
      <c r="C22" s="143"/>
      <c r="D22" s="143"/>
      <c r="E22" s="143">
        <f>C19*0.12</f>
        <v>68.399999999999991</v>
      </c>
      <c r="F22" s="143"/>
      <c r="G22" s="143"/>
      <c r="H22" s="143"/>
      <c r="I22" s="143">
        <f>SUM(C22:H22)</f>
        <v>68.399999999999991</v>
      </c>
      <c r="J22" s="227"/>
      <c r="K22" s="221">
        <f>I22/21</f>
        <v>3.2571428571428567</v>
      </c>
      <c r="L22" s="221"/>
      <c r="M22" s="221"/>
      <c r="N22" s="221"/>
    </row>
    <row r="23" spans="1:14" x14ac:dyDescent="0.3">
      <c r="B23" s="411" t="s">
        <v>418</v>
      </c>
      <c r="C23" s="143"/>
      <c r="D23" s="143">
        <f>C19*0.21</f>
        <v>119.69999999999999</v>
      </c>
      <c r="E23" s="143"/>
      <c r="F23" s="143"/>
      <c r="G23" s="143"/>
      <c r="H23" s="143"/>
      <c r="I23" s="143">
        <f>SUM(C23:H23)</f>
        <v>119.69999999999999</v>
      </c>
      <c r="J23" s="227"/>
      <c r="K23" s="244">
        <f>I30-K22</f>
        <v>-0.25714285714285667</v>
      </c>
    </row>
    <row r="24" spans="1:14" x14ac:dyDescent="0.3">
      <c r="B24" s="411" t="s">
        <v>337</v>
      </c>
      <c r="C24" s="145"/>
      <c r="D24" s="145">
        <v>0</v>
      </c>
      <c r="E24" s="145"/>
      <c r="F24" s="145"/>
      <c r="G24" s="145"/>
      <c r="H24" s="145"/>
      <c r="I24" s="143">
        <f>SUM(C24:H24)</f>
        <v>0</v>
      </c>
      <c r="J24" s="226"/>
    </row>
    <row r="25" spans="1:14" x14ac:dyDescent="0.3">
      <c r="B25" s="411" t="s">
        <v>17</v>
      </c>
      <c r="C25" s="412"/>
      <c r="D25" s="412"/>
      <c r="E25" s="412"/>
      <c r="F25" s="412">
        <v>0.86</v>
      </c>
      <c r="G25" s="412"/>
      <c r="H25" s="412"/>
      <c r="I25" s="146">
        <f>SUM(C25:H25)</f>
        <v>0.86</v>
      </c>
      <c r="J25" s="226"/>
    </row>
    <row r="26" spans="1:14" x14ac:dyDescent="0.3">
      <c r="B26" s="411" t="s">
        <v>338</v>
      </c>
      <c r="C26" s="143"/>
      <c r="D26" s="143">
        <f>(C19-E22-D23)*0.86</f>
        <v>328.43400000000003</v>
      </c>
      <c r="E26" s="143"/>
      <c r="F26" s="143"/>
      <c r="G26" s="143"/>
      <c r="H26" s="143"/>
      <c r="I26" s="143">
        <f>SUM(C26:H26)</f>
        <v>328.43400000000003</v>
      </c>
      <c r="J26" s="228"/>
    </row>
    <row r="27" spans="1:14" x14ac:dyDescent="0.3">
      <c r="B27" s="24"/>
      <c r="C27" s="143"/>
      <c r="D27" s="143"/>
      <c r="E27" s="143"/>
      <c r="F27" s="143"/>
      <c r="G27" s="143"/>
      <c r="H27" s="143"/>
      <c r="I27" s="143"/>
      <c r="J27" s="226"/>
    </row>
    <row r="28" spans="1:14" x14ac:dyDescent="0.3">
      <c r="B28" s="19" t="s">
        <v>18</v>
      </c>
      <c r="C28" s="144"/>
      <c r="D28" s="144"/>
      <c r="E28" s="144"/>
      <c r="F28" s="144"/>
      <c r="G28" s="144"/>
      <c r="H28" s="144"/>
      <c r="I28" s="144"/>
      <c r="J28" s="226"/>
      <c r="K28" s="221"/>
    </row>
    <row r="29" spans="1:14" x14ac:dyDescent="0.3">
      <c r="B29" s="25" t="s">
        <v>19</v>
      </c>
      <c r="C29" s="147">
        <v>19</v>
      </c>
      <c r="D29" s="147"/>
      <c r="E29" s="147"/>
      <c r="F29" s="147"/>
      <c r="G29" s="147"/>
      <c r="H29" s="147"/>
      <c r="I29" s="147">
        <f t="shared" ref="I29:I36" si="8">SUM(C29:H29)</f>
        <v>19</v>
      </c>
      <c r="J29" s="231"/>
    </row>
    <row r="30" spans="1:14" s="222" customFormat="1" x14ac:dyDescent="0.3">
      <c r="A30" s="27"/>
      <c r="B30" s="25" t="s">
        <v>20</v>
      </c>
      <c r="C30" s="148">
        <v>0</v>
      </c>
      <c r="D30" s="148"/>
      <c r="E30" s="148">
        <v>3</v>
      </c>
      <c r="F30" s="148"/>
      <c r="G30" s="148"/>
      <c r="H30" s="148"/>
      <c r="I30" s="147">
        <f t="shared" si="8"/>
        <v>3</v>
      </c>
      <c r="J30" s="448">
        <f>(C19*0.12)/22</f>
        <v>3.1090909090909089</v>
      </c>
    </row>
    <row r="31" spans="1:14" x14ac:dyDescent="0.3">
      <c r="B31" s="25" t="s">
        <v>21</v>
      </c>
      <c r="C31" s="147">
        <v>1</v>
      </c>
      <c r="D31" s="147"/>
      <c r="E31" s="147"/>
      <c r="F31" s="147"/>
      <c r="G31" s="147"/>
      <c r="H31" s="147"/>
      <c r="I31" s="147">
        <f t="shared" si="8"/>
        <v>1</v>
      </c>
      <c r="J31" s="225"/>
    </row>
    <row r="32" spans="1:14" x14ac:dyDescent="0.3">
      <c r="B32" s="25" t="s">
        <v>22</v>
      </c>
      <c r="C32" s="147">
        <v>1</v>
      </c>
      <c r="D32" s="147"/>
      <c r="E32" s="147"/>
      <c r="F32" s="147"/>
      <c r="G32" s="147"/>
      <c r="H32" s="147"/>
      <c r="I32" s="147">
        <f t="shared" si="8"/>
        <v>1</v>
      </c>
      <c r="J32" s="225"/>
    </row>
    <row r="33" spans="2:11" x14ac:dyDescent="0.3">
      <c r="B33" s="25" t="s">
        <v>23</v>
      </c>
      <c r="C33" s="147">
        <v>1</v>
      </c>
      <c r="D33" s="147"/>
      <c r="E33" s="147"/>
      <c r="F33" s="147"/>
      <c r="G33" s="147"/>
      <c r="H33" s="147"/>
      <c r="I33" s="147">
        <f t="shared" si="8"/>
        <v>1</v>
      </c>
      <c r="J33" s="225"/>
    </row>
    <row r="34" spans="2:11" x14ac:dyDescent="0.3">
      <c r="B34" s="30" t="s">
        <v>24</v>
      </c>
      <c r="C34" s="147">
        <v>1</v>
      </c>
      <c r="D34" s="147"/>
      <c r="E34" s="147"/>
      <c r="F34" s="147"/>
      <c r="G34" s="147"/>
      <c r="H34" s="147"/>
      <c r="I34" s="147">
        <f t="shared" si="8"/>
        <v>1</v>
      </c>
      <c r="J34" s="225"/>
    </row>
    <row r="35" spans="2:11" x14ac:dyDescent="0.3">
      <c r="B35" s="30" t="s">
        <v>25</v>
      </c>
      <c r="C35" s="147">
        <v>0</v>
      </c>
      <c r="D35" s="147"/>
      <c r="E35" s="147"/>
      <c r="F35" s="147"/>
      <c r="G35" s="147"/>
      <c r="H35" s="147"/>
      <c r="I35" s="147">
        <f t="shared" si="8"/>
        <v>0</v>
      </c>
      <c r="J35" s="225"/>
    </row>
    <row r="36" spans="2:11" x14ac:dyDescent="0.3">
      <c r="B36" s="30" t="s">
        <v>26</v>
      </c>
      <c r="C36" s="147">
        <v>0.5</v>
      </c>
      <c r="D36" s="147"/>
      <c r="E36" s="147"/>
      <c r="F36" s="147"/>
      <c r="G36" s="147"/>
      <c r="H36" s="147"/>
      <c r="I36" s="147">
        <f t="shared" si="8"/>
        <v>0.5</v>
      </c>
      <c r="J36" s="225"/>
    </row>
    <row r="37" spans="2:11" x14ac:dyDescent="0.3">
      <c r="B37" s="31" t="s">
        <v>27</v>
      </c>
      <c r="C37" s="149">
        <f t="shared" ref="C37" si="9">SUM(C29:C36)</f>
        <v>23.5</v>
      </c>
      <c r="D37" s="149">
        <f t="shared" ref="D37:I37" si="10">SUM(D29:D36)</f>
        <v>0</v>
      </c>
      <c r="E37" s="149">
        <f t="shared" si="10"/>
        <v>3</v>
      </c>
      <c r="F37" s="149">
        <f t="shared" si="10"/>
        <v>0</v>
      </c>
      <c r="G37" s="149">
        <f t="shared" si="10"/>
        <v>0</v>
      </c>
      <c r="H37" s="149">
        <f t="shared" si="10"/>
        <v>0</v>
      </c>
      <c r="I37" s="149">
        <f t="shared" si="10"/>
        <v>26.5</v>
      </c>
      <c r="J37" s="231"/>
      <c r="K37" s="221"/>
    </row>
    <row r="38" spans="2:11" x14ac:dyDescent="0.3">
      <c r="B38" s="33"/>
      <c r="C38" s="143"/>
      <c r="D38" s="143"/>
      <c r="E38" s="143"/>
      <c r="F38" s="143"/>
      <c r="G38" s="143"/>
      <c r="H38" s="143"/>
      <c r="I38" s="143"/>
      <c r="J38" s="225"/>
    </row>
    <row r="39" spans="2:11" x14ac:dyDescent="0.3">
      <c r="B39" s="19" t="s">
        <v>28</v>
      </c>
      <c r="C39" s="150" t="str">
        <f t="shared" ref="C39" si="11">C1</f>
        <v>Operating</v>
      </c>
      <c r="D39" s="150" t="str">
        <f t="shared" ref="D39:I39" si="12">D1</f>
        <v>Weights</v>
      </c>
      <c r="E39" s="150" t="str">
        <f t="shared" si="12"/>
        <v>SPED</v>
      </c>
      <c r="F39" s="150" t="str">
        <f t="shared" si="12"/>
        <v>NSLP</v>
      </c>
      <c r="G39" s="150" t="str">
        <f t="shared" si="12"/>
        <v>Title 1</v>
      </c>
      <c r="H39" s="150" t="str">
        <f t="shared" si="12"/>
        <v>Title 2</v>
      </c>
      <c r="I39" s="150" t="str">
        <f t="shared" si="12"/>
        <v>Total</v>
      </c>
      <c r="J39" s="230"/>
    </row>
    <row r="40" spans="2:11" hidden="1" x14ac:dyDescent="0.3">
      <c r="B40" s="25" t="s">
        <v>29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/>
      <c r="I40" s="151">
        <v>0</v>
      </c>
      <c r="J40" s="225"/>
    </row>
    <row r="41" spans="2:11" x14ac:dyDescent="0.3">
      <c r="B41" s="25" t="s">
        <v>30</v>
      </c>
      <c r="C41" s="147">
        <v>1</v>
      </c>
      <c r="D41" s="147"/>
      <c r="E41" s="147"/>
      <c r="F41" s="147"/>
      <c r="G41" s="147"/>
      <c r="H41" s="147"/>
      <c r="I41" s="147">
        <f t="shared" ref="I41:I59" si="13">SUM(C41:H41)</f>
        <v>1</v>
      </c>
      <c r="J41" s="225"/>
    </row>
    <row r="42" spans="2:11" x14ac:dyDescent="0.3">
      <c r="B42" s="25" t="s">
        <v>31</v>
      </c>
      <c r="C42" s="147">
        <v>1</v>
      </c>
      <c r="D42" s="147"/>
      <c r="E42" s="147"/>
      <c r="F42" s="147"/>
      <c r="G42" s="147"/>
      <c r="H42" s="147"/>
      <c r="I42" s="147">
        <f t="shared" si="13"/>
        <v>1</v>
      </c>
      <c r="J42" s="225"/>
    </row>
    <row r="43" spans="2:11" x14ac:dyDescent="0.3">
      <c r="B43" s="25" t="s">
        <v>413</v>
      </c>
      <c r="C43" s="147">
        <v>1</v>
      </c>
      <c r="D43" s="147"/>
      <c r="E43" s="147"/>
      <c r="F43" s="147"/>
      <c r="G43" s="147"/>
      <c r="H43" s="147"/>
      <c r="I43" s="147">
        <f t="shared" si="13"/>
        <v>1</v>
      </c>
      <c r="J43" s="225"/>
    </row>
    <row r="44" spans="2:11" x14ac:dyDescent="0.3">
      <c r="B44" s="36" t="s">
        <v>412</v>
      </c>
      <c r="C44" s="147">
        <v>0</v>
      </c>
      <c r="D44" s="147"/>
      <c r="E44" s="147"/>
      <c r="F44" s="147"/>
      <c r="G44" s="147">
        <v>1</v>
      </c>
      <c r="H44" s="147"/>
      <c r="I44" s="147">
        <f t="shared" si="13"/>
        <v>1</v>
      </c>
      <c r="J44" s="225"/>
    </row>
    <row r="45" spans="2:11" x14ac:dyDescent="0.3">
      <c r="B45" s="36" t="s">
        <v>415</v>
      </c>
      <c r="C45" s="147">
        <v>0</v>
      </c>
      <c r="D45" s="147">
        <v>1</v>
      </c>
      <c r="E45" s="147"/>
      <c r="F45" s="147"/>
      <c r="G45" s="147"/>
      <c r="H45" s="147"/>
      <c r="I45" s="147">
        <f t="shared" si="13"/>
        <v>1</v>
      </c>
      <c r="J45" s="225"/>
    </row>
    <row r="46" spans="2:11" x14ac:dyDescent="0.3">
      <c r="B46" s="25" t="s">
        <v>32</v>
      </c>
      <c r="C46" s="147">
        <v>1</v>
      </c>
      <c r="D46" s="147"/>
      <c r="E46" s="147"/>
      <c r="F46" s="147"/>
      <c r="G46" s="147"/>
      <c r="H46" s="147"/>
      <c r="I46" s="147">
        <f t="shared" si="13"/>
        <v>1</v>
      </c>
      <c r="J46" s="225"/>
    </row>
    <row r="47" spans="2:11" x14ac:dyDescent="0.3">
      <c r="B47" s="25" t="s">
        <v>33</v>
      </c>
      <c r="C47" s="147">
        <v>0.5</v>
      </c>
      <c r="D47" s="147"/>
      <c r="E47" s="147"/>
      <c r="F47" s="147"/>
      <c r="G47" s="147"/>
      <c r="H47" s="147"/>
      <c r="I47" s="147">
        <f t="shared" si="13"/>
        <v>0.5</v>
      </c>
      <c r="J47" s="225"/>
    </row>
    <row r="48" spans="2:11" x14ac:dyDescent="0.3">
      <c r="B48" s="25" t="s">
        <v>34</v>
      </c>
      <c r="C48" s="147">
        <v>1</v>
      </c>
      <c r="D48" s="147"/>
      <c r="E48" s="147"/>
      <c r="F48" s="147"/>
      <c r="G48" s="147"/>
      <c r="H48" s="147"/>
      <c r="I48" s="147">
        <f t="shared" si="13"/>
        <v>1</v>
      </c>
      <c r="J48" s="225"/>
    </row>
    <row r="49" spans="2:14" x14ac:dyDescent="0.3">
      <c r="B49" s="25" t="s">
        <v>35</v>
      </c>
      <c r="C49" s="147">
        <v>1</v>
      </c>
      <c r="D49" s="147"/>
      <c r="E49" s="147"/>
      <c r="F49" s="147"/>
      <c r="G49" s="147"/>
      <c r="H49" s="147"/>
      <c r="I49" s="147">
        <f t="shared" si="13"/>
        <v>1</v>
      </c>
      <c r="J49" s="225"/>
    </row>
    <row r="50" spans="2:14" x14ac:dyDescent="0.3">
      <c r="B50" s="25" t="s">
        <v>427</v>
      </c>
      <c r="C50" s="147">
        <v>0</v>
      </c>
      <c r="D50" s="147">
        <v>0</v>
      </c>
      <c r="E50" s="147">
        <v>1</v>
      </c>
      <c r="F50" s="147"/>
      <c r="G50" s="147">
        <v>3</v>
      </c>
      <c r="H50" s="147"/>
      <c r="I50" s="147">
        <f t="shared" si="13"/>
        <v>4</v>
      </c>
      <c r="J50" s="225"/>
      <c r="K50" s="221"/>
      <c r="L50" s="221"/>
      <c r="M50" s="221"/>
      <c r="N50" s="221"/>
    </row>
    <row r="51" spans="2:14" x14ac:dyDescent="0.3">
      <c r="B51" s="488" t="s">
        <v>458</v>
      </c>
      <c r="C51" s="147">
        <v>1</v>
      </c>
      <c r="D51" s="147"/>
      <c r="E51" s="147"/>
      <c r="F51" s="147"/>
      <c r="G51" s="147"/>
      <c r="H51" s="147"/>
      <c r="I51" s="147">
        <f t="shared" si="13"/>
        <v>1</v>
      </c>
      <c r="J51" s="225"/>
    </row>
    <row r="52" spans="2:14" x14ac:dyDescent="0.3">
      <c r="B52" s="25" t="s">
        <v>414</v>
      </c>
      <c r="C52" s="147">
        <v>0</v>
      </c>
      <c r="D52" s="147"/>
      <c r="E52" s="147"/>
      <c r="F52" s="147">
        <v>1</v>
      </c>
      <c r="G52" s="147"/>
      <c r="H52" s="147"/>
      <c r="I52" s="147">
        <f t="shared" si="13"/>
        <v>1</v>
      </c>
      <c r="J52" s="225"/>
    </row>
    <row r="53" spans="2:14" x14ac:dyDescent="0.3">
      <c r="B53" s="37" t="s">
        <v>37</v>
      </c>
      <c r="C53" s="147">
        <v>0</v>
      </c>
      <c r="D53" s="147"/>
      <c r="E53" s="147"/>
      <c r="F53" s="147"/>
      <c r="G53" s="147"/>
      <c r="H53" s="147"/>
      <c r="I53" s="147">
        <f t="shared" si="13"/>
        <v>0</v>
      </c>
      <c r="J53" s="225"/>
    </row>
    <row r="54" spans="2:14" x14ac:dyDescent="0.3">
      <c r="B54" s="37" t="s">
        <v>38</v>
      </c>
      <c r="C54" s="147">
        <v>0</v>
      </c>
      <c r="D54" s="147"/>
      <c r="E54" s="147"/>
      <c r="F54" s="147"/>
      <c r="G54" s="147"/>
      <c r="H54" s="147"/>
      <c r="I54" s="147">
        <f t="shared" si="13"/>
        <v>0</v>
      </c>
      <c r="J54" s="225"/>
    </row>
    <row r="55" spans="2:14" x14ac:dyDescent="0.3">
      <c r="B55" s="37" t="s">
        <v>39</v>
      </c>
      <c r="C55" s="147">
        <v>0</v>
      </c>
      <c r="D55" s="147"/>
      <c r="E55" s="147"/>
      <c r="F55" s="147"/>
      <c r="G55" s="147"/>
      <c r="H55" s="147"/>
      <c r="I55" s="147">
        <f t="shared" si="13"/>
        <v>0</v>
      </c>
      <c r="J55" s="225"/>
    </row>
    <row r="56" spans="2:14" x14ac:dyDescent="0.3">
      <c r="B56" s="37" t="s">
        <v>40</v>
      </c>
      <c r="C56" s="147">
        <v>0</v>
      </c>
      <c r="D56" s="147"/>
      <c r="E56" s="147"/>
      <c r="F56" s="147"/>
      <c r="G56" s="147"/>
      <c r="H56" s="147"/>
      <c r="I56" s="147">
        <f t="shared" si="13"/>
        <v>0</v>
      </c>
      <c r="J56" s="225"/>
    </row>
    <row r="57" spans="2:14" x14ac:dyDescent="0.3">
      <c r="B57" s="37" t="s">
        <v>70</v>
      </c>
      <c r="C57" s="147">
        <v>0</v>
      </c>
      <c r="D57" s="147"/>
      <c r="E57" s="147"/>
      <c r="F57" s="147"/>
      <c r="G57" s="147"/>
      <c r="H57" s="147"/>
      <c r="I57" s="147">
        <f t="shared" si="13"/>
        <v>0</v>
      </c>
      <c r="J57" s="231"/>
    </row>
    <row r="58" spans="2:14" x14ac:dyDescent="0.3">
      <c r="B58" s="37" t="s">
        <v>417</v>
      </c>
      <c r="C58" s="147">
        <v>0</v>
      </c>
      <c r="D58" s="147">
        <v>1</v>
      </c>
      <c r="E58" s="147"/>
      <c r="F58" s="147"/>
      <c r="G58" s="147"/>
      <c r="H58" s="147"/>
      <c r="I58" s="147">
        <f t="shared" si="13"/>
        <v>1</v>
      </c>
      <c r="J58" s="225"/>
    </row>
    <row r="59" spans="2:14" x14ac:dyDescent="0.3">
      <c r="B59" s="39"/>
      <c r="C59" s="151"/>
      <c r="D59" s="151"/>
      <c r="E59" s="151"/>
      <c r="F59" s="151"/>
      <c r="G59" s="151"/>
      <c r="H59" s="151"/>
      <c r="I59" s="147">
        <f t="shared" si="13"/>
        <v>0</v>
      </c>
      <c r="J59" s="225"/>
    </row>
    <row r="60" spans="2:14" x14ac:dyDescent="0.3">
      <c r="B60" s="31" t="s">
        <v>41</v>
      </c>
      <c r="C60" s="152">
        <f t="shared" ref="C60" si="14">SUM(C40:C59)</f>
        <v>7.5</v>
      </c>
      <c r="D60" s="152">
        <f>SUM(D40:D59)</f>
        <v>2</v>
      </c>
      <c r="E60" s="152">
        <f t="shared" ref="E60:I60" si="15">SUM(E40:E59)</f>
        <v>1</v>
      </c>
      <c r="F60" s="152">
        <f t="shared" si="15"/>
        <v>1</v>
      </c>
      <c r="G60" s="152">
        <f>SUM(G40:G59)</f>
        <v>4</v>
      </c>
      <c r="H60" s="152">
        <f>SUM(H40:H59)</f>
        <v>0</v>
      </c>
      <c r="I60" s="152">
        <f t="shared" si="15"/>
        <v>15.5</v>
      </c>
      <c r="J60" s="231"/>
      <c r="K60" s="221"/>
    </row>
    <row r="61" spans="2:14" ht="15" thickBot="1" x14ac:dyDescent="0.35">
      <c r="B61" s="41"/>
      <c r="C61" s="153"/>
      <c r="D61" s="153"/>
      <c r="E61" s="153"/>
      <c r="F61" s="153"/>
      <c r="G61" s="153"/>
      <c r="H61" s="153"/>
      <c r="I61" s="153"/>
      <c r="J61" s="225"/>
    </row>
    <row r="62" spans="2:14" x14ac:dyDescent="0.3">
      <c r="B62" s="43" t="s">
        <v>42</v>
      </c>
      <c r="C62" s="44">
        <f t="shared" ref="C62" si="16">C37</f>
        <v>23.5</v>
      </c>
      <c r="D62" s="44">
        <f>D37</f>
        <v>0</v>
      </c>
      <c r="E62" s="44">
        <f t="shared" ref="E62:I62" si="17">E37</f>
        <v>3</v>
      </c>
      <c r="F62" s="44">
        <f t="shared" si="17"/>
        <v>0</v>
      </c>
      <c r="G62" s="44">
        <f t="shared" si="17"/>
        <v>0</v>
      </c>
      <c r="H62" s="44"/>
      <c r="I62" s="44">
        <f t="shared" si="17"/>
        <v>26.5</v>
      </c>
      <c r="J62" s="225"/>
    </row>
    <row r="63" spans="2:14" ht="15" thickBot="1" x14ac:dyDescent="0.35">
      <c r="B63" s="45" t="s">
        <v>43</v>
      </c>
      <c r="C63" s="46">
        <f t="shared" ref="C63" si="18">C60</f>
        <v>7.5</v>
      </c>
      <c r="D63" s="46">
        <f>D60</f>
        <v>2</v>
      </c>
      <c r="E63" s="46">
        <f t="shared" ref="E63:I63" si="19">E60</f>
        <v>1</v>
      </c>
      <c r="F63" s="46">
        <f t="shared" si="19"/>
        <v>1</v>
      </c>
      <c r="G63" s="46">
        <f t="shared" si="19"/>
        <v>4</v>
      </c>
      <c r="H63" s="46"/>
      <c r="I63" s="46">
        <f t="shared" si="19"/>
        <v>15.5</v>
      </c>
      <c r="J63" s="225"/>
    </row>
    <row r="64" spans="2:14" ht="15" thickBot="1" x14ac:dyDescent="0.35">
      <c r="B64" s="47" t="s">
        <v>44</v>
      </c>
      <c r="C64" s="48">
        <f t="shared" ref="C64" si="20">SUM(C62:C63)</f>
        <v>31</v>
      </c>
      <c r="D64" s="48">
        <f>SUM(D62:D63)</f>
        <v>2</v>
      </c>
      <c r="E64" s="48">
        <f t="shared" ref="E64:I64" si="21">SUM(E62:E63)</f>
        <v>4</v>
      </c>
      <c r="F64" s="48">
        <f t="shared" si="21"/>
        <v>1</v>
      </c>
      <c r="G64" s="48">
        <f t="shared" si="21"/>
        <v>4</v>
      </c>
      <c r="H64" s="48"/>
      <c r="I64" s="48">
        <f t="shared" si="21"/>
        <v>42</v>
      </c>
      <c r="J64" s="225"/>
    </row>
    <row r="65" spans="1:13" ht="15" thickBot="1" x14ac:dyDescent="0.35">
      <c r="B65" s="37"/>
      <c r="C65" s="154"/>
      <c r="D65" s="154"/>
      <c r="E65" s="154"/>
      <c r="F65" s="154"/>
      <c r="G65" s="154"/>
      <c r="H65" s="154"/>
      <c r="I65" s="154"/>
      <c r="J65" s="225"/>
    </row>
    <row r="66" spans="1:13" x14ac:dyDescent="0.3">
      <c r="B66" s="127" t="s">
        <v>45</v>
      </c>
      <c r="C66" s="51"/>
      <c r="D66" s="432"/>
      <c r="E66" s="51"/>
      <c r="F66" s="51"/>
      <c r="G66" s="51"/>
      <c r="H66" s="51"/>
      <c r="I66" s="432">
        <f>I135/(I203+I205+I206+I207+I208+I209)</f>
        <v>0.21137675827084026</v>
      </c>
      <c r="J66" s="225"/>
    </row>
    <row r="67" spans="1:13" x14ac:dyDescent="0.3">
      <c r="B67" s="33" t="s">
        <v>46</v>
      </c>
      <c r="C67" s="53"/>
      <c r="D67" s="433"/>
      <c r="E67" s="53"/>
      <c r="F67" s="53"/>
      <c r="G67" s="53"/>
      <c r="H67" s="53"/>
      <c r="I67" s="433">
        <f t="shared" ref="I67" si="22">(I108+I109+I112+I123)/I128</f>
        <v>0.71750528710149208</v>
      </c>
      <c r="J67" s="225"/>
    </row>
    <row r="68" spans="1:13" x14ac:dyDescent="0.3">
      <c r="B68" s="128" t="s">
        <v>47</v>
      </c>
      <c r="C68" s="53"/>
      <c r="D68" s="433"/>
      <c r="E68" s="53"/>
      <c r="F68" s="53"/>
      <c r="G68" s="53"/>
      <c r="H68" s="53"/>
      <c r="I68" s="433">
        <f t="shared" ref="I68" si="23">(I102+I103+I104+I107+I110+I111+I113+I114+I117+I118+I119+I120+I121+I122+I125+I126)/I128</f>
        <v>0.2250712667773446</v>
      </c>
      <c r="J68" s="225"/>
    </row>
    <row r="69" spans="1:13" ht="15" thickBot="1" x14ac:dyDescent="0.35">
      <c r="B69" s="129" t="s">
        <v>48</v>
      </c>
      <c r="C69" s="56"/>
      <c r="D69" s="434"/>
      <c r="E69" s="56"/>
      <c r="F69" s="56"/>
      <c r="G69" s="56"/>
      <c r="H69" s="56"/>
      <c r="I69" s="434">
        <f>(I206+I207+I208+I209)/(I98-I87)</f>
        <v>0.10657367200842198</v>
      </c>
      <c r="J69" s="225"/>
    </row>
    <row r="70" spans="1:13" s="62" customFormat="1" x14ac:dyDescent="0.3">
      <c r="A70" s="57"/>
      <c r="B70" s="58"/>
      <c r="C70" s="154"/>
      <c r="D70" s="154"/>
      <c r="E70" s="154"/>
      <c r="F70" s="154"/>
      <c r="G70" s="154"/>
      <c r="H70" s="154"/>
      <c r="I70" s="154"/>
      <c r="J70" s="225"/>
    </row>
    <row r="71" spans="1:13" s="62" customFormat="1" x14ac:dyDescent="0.3">
      <c r="A71" s="57"/>
      <c r="C71" s="154"/>
      <c r="D71" s="154"/>
      <c r="E71" s="154"/>
      <c r="F71" s="154"/>
      <c r="G71" s="154"/>
      <c r="H71" s="154"/>
      <c r="I71" s="154"/>
      <c r="J71" s="225"/>
    </row>
    <row r="72" spans="1:13" x14ac:dyDescent="0.3">
      <c r="A72" s="63"/>
      <c r="B72" s="130" t="s">
        <v>405</v>
      </c>
      <c r="C72" s="155" t="str">
        <f t="shared" ref="C72" si="24">C1</f>
        <v>Operating</v>
      </c>
      <c r="D72" s="155" t="str">
        <f t="shared" ref="D72:I72" si="25">D1</f>
        <v>Weights</v>
      </c>
      <c r="E72" s="155" t="str">
        <f t="shared" si="25"/>
        <v>SPED</v>
      </c>
      <c r="F72" s="155" t="str">
        <f t="shared" si="25"/>
        <v>NSLP</v>
      </c>
      <c r="G72" s="155" t="str">
        <f t="shared" si="25"/>
        <v>Title 1</v>
      </c>
      <c r="H72" s="155" t="str">
        <f t="shared" si="25"/>
        <v>Title 2</v>
      </c>
      <c r="I72" s="155" t="str">
        <f t="shared" si="25"/>
        <v>Total</v>
      </c>
      <c r="J72" s="232"/>
      <c r="K72" s="273" t="s">
        <v>221</v>
      </c>
      <c r="L72" s="273" t="s">
        <v>222</v>
      </c>
      <c r="M72" s="273" t="s">
        <v>223</v>
      </c>
    </row>
    <row r="73" spans="1:13" x14ac:dyDescent="0.3">
      <c r="A73" s="67">
        <v>3110</v>
      </c>
      <c r="B73" s="413" t="s">
        <v>339</v>
      </c>
      <c r="C73" s="156">
        <f>(C2*C5)</f>
        <v>4377534.4188132202</v>
      </c>
      <c r="D73" s="156"/>
      <c r="E73" s="156"/>
      <c r="F73" s="156"/>
      <c r="G73" s="156"/>
      <c r="H73" s="156"/>
      <c r="I73" s="143">
        <f t="shared" ref="I73:I84" si="26">SUM(C73:H73)</f>
        <v>4377534.4188132202</v>
      </c>
      <c r="J73" s="233"/>
      <c r="K73" s="219">
        <v>200</v>
      </c>
      <c r="L73" s="219">
        <v>280</v>
      </c>
      <c r="M73" s="219">
        <v>364</v>
      </c>
    </row>
    <row r="74" spans="1:13" x14ac:dyDescent="0.3">
      <c r="A74" s="67">
        <v>4500</v>
      </c>
      <c r="B74" s="409" t="s">
        <v>331</v>
      </c>
      <c r="C74" s="143"/>
      <c r="D74" s="143"/>
      <c r="E74" s="143"/>
      <c r="F74" s="143">
        <f>(C19*F25)*3.5*180+((C19*F25)*1.84*180)</f>
        <v>471180.24</v>
      </c>
      <c r="G74" s="143"/>
      <c r="H74" s="143"/>
      <c r="I74" s="143">
        <f t="shared" si="26"/>
        <v>471180.24</v>
      </c>
      <c r="J74" s="234"/>
      <c r="K74" s="272">
        <v>91981</v>
      </c>
      <c r="L74" s="272">
        <v>89741.34</v>
      </c>
      <c r="M74" s="272">
        <f>233347-50000</f>
        <v>183347</v>
      </c>
    </row>
    <row r="75" spans="1:13" x14ac:dyDescent="0.3">
      <c r="A75" s="67">
        <v>4500</v>
      </c>
      <c r="B75" s="409" t="s">
        <v>330</v>
      </c>
      <c r="C75" s="143"/>
      <c r="D75" s="143"/>
      <c r="E75" s="143">
        <f>950*'25-26'!E22</f>
        <v>61560</v>
      </c>
      <c r="F75" s="143"/>
      <c r="G75" s="143"/>
      <c r="H75" s="143"/>
      <c r="I75" s="143">
        <f t="shared" si="26"/>
        <v>61560</v>
      </c>
      <c r="J75" s="235"/>
      <c r="L75" s="274"/>
    </row>
    <row r="76" spans="1:13" x14ac:dyDescent="0.3">
      <c r="A76" s="74">
        <v>3115</v>
      </c>
      <c r="B76" s="410" t="s">
        <v>51</v>
      </c>
      <c r="C76" s="153"/>
      <c r="D76" s="153"/>
      <c r="E76" s="153">
        <f>2755*'25-26'!E22</f>
        <v>178524</v>
      </c>
      <c r="F76" s="153"/>
      <c r="G76" s="153"/>
      <c r="H76" s="153"/>
      <c r="I76" s="143">
        <f t="shared" si="26"/>
        <v>178524</v>
      </c>
      <c r="J76" s="235"/>
    </row>
    <row r="77" spans="1:13" x14ac:dyDescent="0.3">
      <c r="A77" s="74"/>
      <c r="B77" s="410" t="s">
        <v>384</v>
      </c>
      <c r="C77" s="153"/>
      <c r="D77" s="153"/>
      <c r="E77" s="153"/>
      <c r="F77" s="153"/>
      <c r="G77" s="153">
        <f>((C19*F25)*0.9)*400</f>
        <v>176472</v>
      </c>
      <c r="H77" s="153"/>
      <c r="I77" s="143">
        <f t="shared" si="26"/>
        <v>176472</v>
      </c>
      <c r="J77" s="235"/>
    </row>
    <row r="78" spans="1:13" x14ac:dyDescent="0.3">
      <c r="A78" s="74"/>
      <c r="B78" s="410" t="s">
        <v>390</v>
      </c>
      <c r="C78" s="153"/>
      <c r="D78" s="153"/>
      <c r="E78" s="153"/>
      <c r="F78" s="153"/>
      <c r="G78" s="153">
        <v>0</v>
      </c>
      <c r="H78" s="153">
        <f>'25-26'!C19*85</f>
        <v>45900</v>
      </c>
      <c r="I78" s="143">
        <f t="shared" si="26"/>
        <v>45900</v>
      </c>
      <c r="J78" s="235"/>
    </row>
    <row r="79" spans="1:13" x14ac:dyDescent="0.3">
      <c r="A79" s="74"/>
      <c r="B79" s="409" t="s">
        <v>416</v>
      </c>
      <c r="C79" s="153"/>
      <c r="D79" s="153">
        <f>1635.98*'25-26'!D23</f>
        <v>185520.13199999998</v>
      </c>
      <c r="E79" s="153"/>
      <c r="F79" s="153"/>
      <c r="G79" s="153"/>
      <c r="H79" s="153"/>
      <c r="I79" s="143">
        <f t="shared" si="26"/>
        <v>185520.13199999998</v>
      </c>
      <c r="J79" s="235"/>
      <c r="K79" s="414">
        <f>7074*0.23</f>
        <v>1627.02</v>
      </c>
      <c r="L79" s="219" t="s">
        <v>342</v>
      </c>
    </row>
    <row r="80" spans="1:13" x14ac:dyDescent="0.3">
      <c r="A80" s="67">
        <v>3200</v>
      </c>
      <c r="B80" s="409" t="s">
        <v>332</v>
      </c>
      <c r="C80" s="143"/>
      <c r="D80" s="143"/>
      <c r="E80" s="143"/>
      <c r="F80" s="143"/>
      <c r="G80" s="143"/>
      <c r="H80" s="143"/>
      <c r="I80" s="143">
        <f t="shared" si="26"/>
        <v>0</v>
      </c>
      <c r="J80" s="235"/>
      <c r="K80" s="414">
        <f>7074*0.12</f>
        <v>848.88</v>
      </c>
      <c r="L80" s="219" t="s">
        <v>343</v>
      </c>
    </row>
    <row r="81" spans="1:13" x14ac:dyDescent="0.3">
      <c r="A81" s="67"/>
      <c r="B81" s="409" t="s">
        <v>334</v>
      </c>
      <c r="C81" s="143"/>
      <c r="D81" s="143">
        <f>'25-26'!D26*247.07</f>
        <v>76875.336360000001</v>
      </c>
      <c r="E81" s="143"/>
      <c r="F81" s="143"/>
      <c r="G81" s="143"/>
      <c r="H81" s="143"/>
      <c r="I81" s="143">
        <f t="shared" si="26"/>
        <v>76875.336360000001</v>
      </c>
      <c r="J81" s="225"/>
      <c r="K81" s="414">
        <f>7074*0.03</f>
        <v>212.22</v>
      </c>
      <c r="L81" s="274" t="s">
        <v>344</v>
      </c>
      <c r="M81" s="274"/>
    </row>
    <row r="82" spans="1:13" x14ac:dyDescent="0.3">
      <c r="A82" s="67"/>
      <c r="B82" s="71" t="s">
        <v>456</v>
      </c>
      <c r="C82" s="143"/>
      <c r="D82" s="143"/>
      <c r="E82" s="143"/>
      <c r="F82" s="143"/>
      <c r="G82" s="143"/>
      <c r="H82" s="143"/>
      <c r="I82" s="143">
        <f t="shared" si="26"/>
        <v>0</v>
      </c>
      <c r="J82" s="225"/>
      <c r="K82" s="274"/>
      <c r="L82" s="274"/>
      <c r="M82" s="274"/>
    </row>
    <row r="83" spans="1:13" x14ac:dyDescent="0.3">
      <c r="A83" s="67"/>
      <c r="B83" s="545" t="s">
        <v>454</v>
      </c>
      <c r="C83" s="546">
        <v>0</v>
      </c>
      <c r="D83" s="546"/>
      <c r="E83" s="546"/>
      <c r="F83" s="546"/>
      <c r="G83" s="546"/>
      <c r="H83" s="546"/>
      <c r="I83" s="546">
        <f t="shared" si="26"/>
        <v>0</v>
      </c>
      <c r="J83" s="225"/>
      <c r="K83" s="274"/>
      <c r="L83" s="274"/>
      <c r="M83" s="274"/>
    </row>
    <row r="84" spans="1:13" ht="15" thickBot="1" x14ac:dyDescent="0.35">
      <c r="A84" s="67"/>
      <c r="B84" s="82" t="s">
        <v>428</v>
      </c>
      <c r="C84" s="143">
        <v>0</v>
      </c>
      <c r="D84" s="143"/>
      <c r="E84" s="143"/>
      <c r="F84" s="143"/>
      <c r="G84" s="143"/>
      <c r="H84" s="143"/>
      <c r="I84" s="143">
        <f t="shared" si="26"/>
        <v>0</v>
      </c>
      <c r="J84" s="431"/>
      <c r="K84" s="167"/>
    </row>
    <row r="85" spans="1:13" ht="15" thickBot="1" x14ac:dyDescent="0.35">
      <c r="A85" s="75"/>
      <c r="B85" s="131" t="s">
        <v>52</v>
      </c>
      <c r="C85" s="77">
        <f t="shared" ref="C85:I85" si="27">SUM(C73:C84)</f>
        <v>4377534.4188132202</v>
      </c>
      <c r="D85" s="77">
        <f t="shared" si="27"/>
        <v>262395.46836</v>
      </c>
      <c r="E85" s="77">
        <f t="shared" si="27"/>
        <v>240084</v>
      </c>
      <c r="F85" s="77">
        <f t="shared" si="27"/>
        <v>471180.24</v>
      </c>
      <c r="G85" s="77">
        <f t="shared" si="27"/>
        <v>176472</v>
      </c>
      <c r="H85" s="77">
        <f t="shared" si="27"/>
        <v>45900</v>
      </c>
      <c r="I85" s="77">
        <f t="shared" si="27"/>
        <v>5573566.1271732207</v>
      </c>
      <c r="J85" s="225"/>
    </row>
    <row r="86" spans="1:13" hidden="1" x14ac:dyDescent="0.3">
      <c r="A86" s="78"/>
      <c r="B86" s="71" t="s">
        <v>53</v>
      </c>
      <c r="C86" s="157">
        <f>C2*C5</f>
        <v>4377534.4188132202</v>
      </c>
      <c r="D86" s="157"/>
      <c r="E86" s="157"/>
      <c r="F86" s="157"/>
      <c r="G86" s="157"/>
      <c r="H86" s="157"/>
      <c r="I86" s="143">
        <f t="shared" ref="I86:I97" si="28">SUM(C86:H86)</f>
        <v>4377534.4188132202</v>
      </c>
      <c r="J86" s="231"/>
    </row>
    <row r="87" spans="1:13" hidden="1" x14ac:dyDescent="0.3">
      <c r="A87" s="67"/>
      <c r="B87" s="409" t="str">
        <f t="shared" ref="B87:H89" si="29">B74</f>
        <v>National School Lunch Program (NSLP)</v>
      </c>
      <c r="C87" s="143">
        <f t="shared" si="29"/>
        <v>0</v>
      </c>
      <c r="D87" s="143">
        <f t="shared" si="29"/>
        <v>0</v>
      </c>
      <c r="E87" s="143">
        <f t="shared" si="29"/>
        <v>0</v>
      </c>
      <c r="F87" s="143">
        <f t="shared" si="29"/>
        <v>471180.24</v>
      </c>
      <c r="G87" s="143">
        <f t="shared" si="29"/>
        <v>0</v>
      </c>
      <c r="H87" s="143">
        <f t="shared" si="29"/>
        <v>0</v>
      </c>
      <c r="I87" s="143">
        <f t="shared" si="28"/>
        <v>471180.24</v>
      </c>
      <c r="J87" s="225"/>
    </row>
    <row r="88" spans="1:13" hidden="1" x14ac:dyDescent="0.3">
      <c r="A88" s="67"/>
      <c r="B88" s="409" t="str">
        <f t="shared" si="29"/>
        <v>SPED Funding (Part B)</v>
      </c>
      <c r="C88" s="143">
        <f t="shared" si="29"/>
        <v>0</v>
      </c>
      <c r="D88" s="143">
        <f t="shared" si="29"/>
        <v>0</v>
      </c>
      <c r="E88" s="143">
        <f t="shared" si="29"/>
        <v>61560</v>
      </c>
      <c r="F88" s="143">
        <f t="shared" si="29"/>
        <v>0</v>
      </c>
      <c r="G88" s="143">
        <f t="shared" ref="G88:H88" si="30">G75</f>
        <v>0</v>
      </c>
      <c r="H88" s="143">
        <f t="shared" si="30"/>
        <v>0</v>
      </c>
      <c r="I88" s="143">
        <f t="shared" si="28"/>
        <v>61560</v>
      </c>
      <c r="J88" s="225"/>
    </row>
    <row r="89" spans="1:13" hidden="1" x14ac:dyDescent="0.3">
      <c r="A89" s="74"/>
      <c r="B89" s="409" t="str">
        <f t="shared" si="29"/>
        <v>SPED Discretionary Unit</v>
      </c>
      <c r="C89" s="153">
        <f t="shared" si="29"/>
        <v>0</v>
      </c>
      <c r="D89" s="143">
        <f t="shared" si="29"/>
        <v>0</v>
      </c>
      <c r="E89" s="143">
        <f t="shared" si="29"/>
        <v>178524</v>
      </c>
      <c r="F89" s="143">
        <f t="shared" si="29"/>
        <v>0</v>
      </c>
      <c r="G89" s="143">
        <f t="shared" ref="G89:H89" si="31">G76</f>
        <v>0</v>
      </c>
      <c r="H89" s="143">
        <f t="shared" si="31"/>
        <v>0</v>
      </c>
      <c r="I89" s="143">
        <f t="shared" si="28"/>
        <v>178524</v>
      </c>
      <c r="J89" s="225"/>
    </row>
    <row r="90" spans="1:13" hidden="1" x14ac:dyDescent="0.3">
      <c r="A90" s="74"/>
      <c r="B90" s="409" t="s">
        <v>384</v>
      </c>
      <c r="C90" s="153">
        <f t="shared" ref="C90" si="32">C77</f>
        <v>0</v>
      </c>
      <c r="D90" s="143">
        <f>D77</f>
        <v>0</v>
      </c>
      <c r="E90" s="143">
        <f>E77</f>
        <v>0</v>
      </c>
      <c r="F90" s="143">
        <f>F77</f>
        <v>0</v>
      </c>
      <c r="G90" s="143">
        <f t="shared" ref="G90:H90" si="33">G77</f>
        <v>176472</v>
      </c>
      <c r="H90" s="143">
        <f t="shared" si="33"/>
        <v>0</v>
      </c>
      <c r="I90" s="143">
        <f t="shared" si="28"/>
        <v>176472</v>
      </c>
      <c r="J90" s="225"/>
    </row>
    <row r="91" spans="1:13" hidden="1" x14ac:dyDescent="0.3">
      <c r="A91" s="74"/>
      <c r="B91" s="410" t="s">
        <v>390</v>
      </c>
      <c r="C91" s="153"/>
      <c r="D91" s="143"/>
      <c r="E91" s="143"/>
      <c r="F91" s="143"/>
      <c r="G91" s="143">
        <f t="shared" ref="G91:H91" si="34">G78</f>
        <v>0</v>
      </c>
      <c r="H91" s="143">
        <f t="shared" si="34"/>
        <v>45900</v>
      </c>
      <c r="I91" s="143">
        <f t="shared" si="28"/>
        <v>45900</v>
      </c>
      <c r="J91" s="225"/>
    </row>
    <row r="92" spans="1:13" hidden="1" x14ac:dyDescent="0.3">
      <c r="A92" s="67"/>
      <c r="B92" s="409" t="str">
        <f t="shared" ref="B92:H97" si="35">B79</f>
        <v>EL Weight</v>
      </c>
      <c r="C92" s="153">
        <f t="shared" si="35"/>
        <v>0</v>
      </c>
      <c r="D92" s="143">
        <f t="shared" si="35"/>
        <v>185520.13199999998</v>
      </c>
      <c r="E92" s="143">
        <f t="shared" si="35"/>
        <v>0</v>
      </c>
      <c r="F92" s="143">
        <f t="shared" si="35"/>
        <v>0</v>
      </c>
      <c r="G92" s="143">
        <f t="shared" si="35"/>
        <v>0</v>
      </c>
      <c r="H92" s="143">
        <f t="shared" si="35"/>
        <v>0</v>
      </c>
      <c r="I92" s="143">
        <f t="shared" si="28"/>
        <v>185520.13199999998</v>
      </c>
      <c r="J92" s="225"/>
    </row>
    <row r="93" spans="1:13" hidden="1" x14ac:dyDescent="0.3">
      <c r="A93" s="67"/>
      <c r="B93" s="409" t="str">
        <f t="shared" si="35"/>
        <v>Gifted and Talented Education (GATE) Weight</v>
      </c>
      <c r="C93" s="153">
        <f t="shared" si="35"/>
        <v>0</v>
      </c>
      <c r="D93" s="143">
        <f t="shared" si="35"/>
        <v>0</v>
      </c>
      <c r="E93" s="143">
        <f t="shared" si="35"/>
        <v>0</v>
      </c>
      <c r="F93" s="143">
        <f t="shared" si="35"/>
        <v>0</v>
      </c>
      <c r="G93" s="143">
        <f t="shared" si="35"/>
        <v>0</v>
      </c>
      <c r="H93" s="143">
        <f t="shared" si="35"/>
        <v>0</v>
      </c>
      <c r="I93" s="143">
        <f t="shared" si="28"/>
        <v>0</v>
      </c>
      <c r="J93" s="225"/>
    </row>
    <row r="94" spans="1:13" hidden="1" x14ac:dyDescent="0.3">
      <c r="A94" s="67"/>
      <c r="B94" s="409" t="str">
        <f t="shared" si="35"/>
        <v>At-Risk Weight</v>
      </c>
      <c r="C94" s="153">
        <f t="shared" si="35"/>
        <v>0</v>
      </c>
      <c r="D94" s="143">
        <f t="shared" si="35"/>
        <v>76875.336360000001</v>
      </c>
      <c r="E94" s="143">
        <f t="shared" si="35"/>
        <v>0</v>
      </c>
      <c r="F94" s="143">
        <f t="shared" si="35"/>
        <v>0</v>
      </c>
      <c r="G94" s="143">
        <f t="shared" si="35"/>
        <v>0</v>
      </c>
      <c r="H94" s="143">
        <f t="shared" si="35"/>
        <v>0</v>
      </c>
      <c r="I94" s="143">
        <f t="shared" si="28"/>
        <v>76875.336360000001</v>
      </c>
      <c r="J94" s="225"/>
    </row>
    <row r="95" spans="1:13" hidden="1" x14ac:dyDescent="0.3">
      <c r="A95" s="67"/>
      <c r="B95" s="409" t="str">
        <f t="shared" si="35"/>
        <v>OTHER: Charter School Program (CSP) Grant</v>
      </c>
      <c r="C95" s="153">
        <f t="shared" si="35"/>
        <v>0</v>
      </c>
      <c r="D95" s="143">
        <f t="shared" si="35"/>
        <v>0</v>
      </c>
      <c r="E95" s="143">
        <f t="shared" si="35"/>
        <v>0</v>
      </c>
      <c r="F95" s="143">
        <f t="shared" si="35"/>
        <v>0</v>
      </c>
      <c r="G95" s="143">
        <f t="shared" si="35"/>
        <v>0</v>
      </c>
      <c r="H95" s="143">
        <f t="shared" si="35"/>
        <v>0</v>
      </c>
      <c r="I95" s="143">
        <f t="shared" si="28"/>
        <v>0</v>
      </c>
      <c r="J95" s="225"/>
    </row>
    <row r="96" spans="1:13" hidden="1" x14ac:dyDescent="0.3">
      <c r="A96" s="67"/>
      <c r="B96" s="409" t="str">
        <f t="shared" si="35"/>
        <v>OTHER: Donation (Sands Corporation)</v>
      </c>
      <c r="C96" s="153">
        <f t="shared" si="35"/>
        <v>0</v>
      </c>
      <c r="D96" s="143">
        <f t="shared" si="35"/>
        <v>0</v>
      </c>
      <c r="E96" s="143">
        <f t="shared" si="35"/>
        <v>0</v>
      </c>
      <c r="F96" s="143">
        <f t="shared" si="35"/>
        <v>0</v>
      </c>
      <c r="G96" s="143">
        <f t="shared" si="35"/>
        <v>0</v>
      </c>
      <c r="H96" s="143">
        <f t="shared" si="35"/>
        <v>0</v>
      </c>
      <c r="I96" s="143">
        <f t="shared" si="28"/>
        <v>0</v>
      </c>
      <c r="J96" s="225"/>
    </row>
    <row r="97" spans="1:15" hidden="1" x14ac:dyDescent="0.3">
      <c r="A97" s="67"/>
      <c r="B97" s="409" t="str">
        <f t="shared" si="35"/>
        <v>OTHER: Tenant Improvements Donation</v>
      </c>
      <c r="C97" s="153">
        <f t="shared" si="35"/>
        <v>0</v>
      </c>
      <c r="D97" s="143">
        <f t="shared" si="35"/>
        <v>0</v>
      </c>
      <c r="E97" s="143">
        <f t="shared" si="35"/>
        <v>0</v>
      </c>
      <c r="F97" s="143">
        <f t="shared" si="35"/>
        <v>0</v>
      </c>
      <c r="G97" s="143">
        <f t="shared" si="35"/>
        <v>0</v>
      </c>
      <c r="H97" s="143">
        <f t="shared" si="35"/>
        <v>0</v>
      </c>
      <c r="I97" s="143">
        <f t="shared" si="28"/>
        <v>0</v>
      </c>
      <c r="J97" s="225"/>
    </row>
    <row r="98" spans="1:15" hidden="1" x14ac:dyDescent="0.3">
      <c r="A98" s="67"/>
      <c r="B98" s="132" t="s">
        <v>54</v>
      </c>
      <c r="C98" s="158">
        <f t="shared" ref="C98:I98" si="36">SUM(C86:C97)</f>
        <v>4377534.4188132202</v>
      </c>
      <c r="D98" s="158">
        <f t="shared" si="36"/>
        <v>262395.46836</v>
      </c>
      <c r="E98" s="158">
        <f t="shared" si="36"/>
        <v>240084</v>
      </c>
      <c r="F98" s="158">
        <f t="shared" si="36"/>
        <v>471180.24</v>
      </c>
      <c r="G98" s="158">
        <f t="shared" si="36"/>
        <v>176472</v>
      </c>
      <c r="H98" s="158">
        <f t="shared" si="36"/>
        <v>45900</v>
      </c>
      <c r="I98" s="158">
        <f t="shared" si="36"/>
        <v>5573566.1271732207</v>
      </c>
      <c r="J98" s="225"/>
    </row>
    <row r="99" spans="1:15" s="62" customFormat="1" x14ac:dyDescent="0.3">
      <c r="A99" s="57"/>
      <c r="C99" s="154"/>
      <c r="D99" s="154"/>
      <c r="E99" s="154"/>
      <c r="F99" s="154"/>
      <c r="G99" s="154"/>
      <c r="H99" s="154"/>
      <c r="I99" s="154"/>
      <c r="J99" s="225"/>
    </row>
    <row r="100" spans="1:15" s="62" customFormat="1" ht="15" thickBot="1" x14ac:dyDescent="0.35">
      <c r="A100" s="57"/>
      <c r="B100" s="510" t="s">
        <v>55</v>
      </c>
      <c r="C100" s="511" t="str">
        <f>C1</f>
        <v>Operating</v>
      </c>
      <c r="D100" s="511" t="str">
        <f t="shared" ref="D100:I100" si="37">D1</f>
        <v>Weights</v>
      </c>
      <c r="E100" s="511" t="str">
        <f t="shared" si="37"/>
        <v>SPED</v>
      </c>
      <c r="F100" s="511" t="str">
        <f t="shared" si="37"/>
        <v>NSLP</v>
      </c>
      <c r="G100" s="511" t="str">
        <f t="shared" si="37"/>
        <v>Title 1</v>
      </c>
      <c r="H100" s="511" t="str">
        <f t="shared" si="37"/>
        <v>Title 2</v>
      </c>
      <c r="I100" s="511" t="str">
        <f t="shared" si="37"/>
        <v>Total</v>
      </c>
      <c r="J100" s="225"/>
    </row>
    <row r="101" spans="1:15" x14ac:dyDescent="0.3">
      <c r="A101" s="70"/>
      <c r="B101" s="133" t="s">
        <v>56</v>
      </c>
      <c r="C101" s="150"/>
      <c r="D101" s="150"/>
      <c r="E101" s="150"/>
      <c r="F101" s="150"/>
      <c r="G101" s="150"/>
      <c r="H101" s="150"/>
      <c r="I101" s="150"/>
      <c r="J101" s="230"/>
    </row>
    <row r="102" spans="1:15" x14ac:dyDescent="0.3">
      <c r="A102" s="67">
        <v>104</v>
      </c>
      <c r="B102" s="71" t="s">
        <v>30</v>
      </c>
      <c r="C102" s="145">
        <v>112500</v>
      </c>
      <c r="D102" s="143"/>
      <c r="E102" s="143"/>
      <c r="F102" s="143"/>
      <c r="G102" s="143"/>
      <c r="H102" s="143"/>
      <c r="I102" s="143">
        <f t="shared" ref="I102:I114" si="38">SUM(C102:H102)</f>
        <v>112500</v>
      </c>
      <c r="J102" s="225"/>
    </row>
    <row r="103" spans="1:15" x14ac:dyDescent="0.3">
      <c r="A103" s="67">
        <v>104</v>
      </c>
      <c r="B103" s="71" t="s">
        <v>57</v>
      </c>
      <c r="C103" s="143">
        <f>'25-26'!C103*1.015</f>
        <v>77647.499999999985</v>
      </c>
      <c r="D103" s="143"/>
      <c r="E103" s="143"/>
      <c r="F103" s="143"/>
      <c r="G103" s="143"/>
      <c r="H103" s="143"/>
      <c r="I103" s="143">
        <f t="shared" si="38"/>
        <v>77647.499999999985</v>
      </c>
      <c r="J103" s="225"/>
    </row>
    <row r="104" spans="1:15" x14ac:dyDescent="0.3">
      <c r="A104" s="67">
        <v>105</v>
      </c>
      <c r="B104" s="71" t="s">
        <v>415</v>
      </c>
      <c r="C104" s="143">
        <f>'25-26'!C104*1.015</f>
        <v>0</v>
      </c>
      <c r="D104" s="143">
        <f>'25-26'!D104*1.015</f>
        <v>58869.999999999993</v>
      </c>
      <c r="E104" s="143"/>
      <c r="F104" s="143"/>
      <c r="G104" s="143"/>
      <c r="H104" s="143"/>
      <c r="I104" s="143">
        <f t="shared" si="38"/>
        <v>58869.999999999993</v>
      </c>
      <c r="J104" s="225"/>
    </row>
    <row r="105" spans="1:15" x14ac:dyDescent="0.3">
      <c r="A105" s="67">
        <v>105</v>
      </c>
      <c r="B105" s="470" t="s">
        <v>417</v>
      </c>
      <c r="C105" s="143">
        <f>'25-26'!C105*1.015</f>
        <v>0</v>
      </c>
      <c r="D105" s="143">
        <f>'25-26'!D105*1.015</f>
        <v>52800.299999999996</v>
      </c>
      <c r="E105" s="143"/>
      <c r="F105" s="143"/>
      <c r="G105" s="143"/>
      <c r="H105" s="143"/>
      <c r="I105" s="143">
        <f t="shared" si="38"/>
        <v>52800.299999999996</v>
      </c>
      <c r="J105" s="225"/>
    </row>
    <row r="106" spans="1:15" x14ac:dyDescent="0.3">
      <c r="A106" s="67">
        <v>105</v>
      </c>
      <c r="B106" s="471" t="s">
        <v>413</v>
      </c>
      <c r="C106" s="143">
        <f>'25-26'!C106*1.015</f>
        <v>0</v>
      </c>
      <c r="D106" s="143">
        <f>'25-26'!D106*1.015</f>
        <v>68640.39</v>
      </c>
      <c r="E106" s="143"/>
      <c r="F106" s="143"/>
      <c r="G106" s="143"/>
      <c r="H106" s="143"/>
      <c r="I106" s="143">
        <f t="shared" si="38"/>
        <v>68640.39</v>
      </c>
      <c r="J106" s="225"/>
    </row>
    <row r="107" spans="1:15" x14ac:dyDescent="0.3">
      <c r="A107" s="67">
        <v>105</v>
      </c>
      <c r="B107" s="71" t="s">
        <v>425</v>
      </c>
      <c r="C107" s="143">
        <f>'25-26'!C107*1.015</f>
        <v>0</v>
      </c>
      <c r="D107" s="143"/>
      <c r="E107" s="143"/>
      <c r="F107" s="143"/>
      <c r="G107" s="143">
        <f>'25-26'!G107*1.015</f>
        <v>60565.049999999996</v>
      </c>
      <c r="H107" s="143"/>
      <c r="I107" s="143">
        <f t="shared" si="38"/>
        <v>60565.049999999996</v>
      </c>
      <c r="J107" s="225"/>
      <c r="N107" s="250"/>
      <c r="O107" s="250"/>
    </row>
    <row r="108" spans="1:15" x14ac:dyDescent="0.3">
      <c r="A108" s="67" t="s">
        <v>58</v>
      </c>
      <c r="B108" s="71" t="s">
        <v>59</v>
      </c>
      <c r="C108" s="145">
        <f>(54000)*(C37-C30)</f>
        <v>1269000</v>
      </c>
      <c r="D108" s="143"/>
      <c r="E108" s="143"/>
      <c r="F108" s="143"/>
      <c r="G108" s="143"/>
      <c r="H108" s="143"/>
      <c r="I108" s="143">
        <f t="shared" si="38"/>
        <v>1269000</v>
      </c>
      <c r="J108" s="226"/>
      <c r="K108" s="221"/>
      <c r="L108" s="221"/>
      <c r="M108" s="221"/>
      <c r="N108" s="221"/>
      <c r="O108" s="221"/>
    </row>
    <row r="109" spans="1:15" x14ac:dyDescent="0.3">
      <c r="A109" s="67">
        <v>101</v>
      </c>
      <c r="B109" s="71" t="s">
        <v>20</v>
      </c>
      <c r="C109" s="143">
        <f>(42500+750+750+750+750)*C30</f>
        <v>0</v>
      </c>
      <c r="D109" s="143">
        <f t="shared" ref="D109" si="39">(42500+750+750+750+750)*D30</f>
        <v>0</v>
      </c>
      <c r="E109" s="143">
        <f>(54000*E30)</f>
        <v>162000</v>
      </c>
      <c r="F109" s="143">
        <f t="shared" ref="F109:G109" si="40">42500*F30</f>
        <v>0</v>
      </c>
      <c r="G109" s="143">
        <f t="shared" si="40"/>
        <v>0</v>
      </c>
      <c r="H109" s="143"/>
      <c r="I109" s="143">
        <f t="shared" si="38"/>
        <v>162000</v>
      </c>
      <c r="J109" s="226"/>
      <c r="K109" s="364"/>
      <c r="L109" s="364"/>
      <c r="M109" s="364"/>
      <c r="N109" s="364"/>
      <c r="O109" s="364"/>
    </row>
    <row r="110" spans="1:15" x14ac:dyDescent="0.3">
      <c r="A110" s="67">
        <v>107</v>
      </c>
      <c r="B110" s="71" t="s">
        <v>60</v>
      </c>
      <c r="C110" s="143">
        <f>'25-26'!C110*1.015</f>
        <v>67404.381869999997</v>
      </c>
      <c r="D110" s="143"/>
      <c r="E110" s="143"/>
      <c r="F110" s="143"/>
      <c r="G110" s="143"/>
      <c r="H110" s="143"/>
      <c r="I110" s="143">
        <f t="shared" si="38"/>
        <v>67404.381869999997</v>
      </c>
      <c r="J110" s="168"/>
    </row>
    <row r="111" spans="1:15" x14ac:dyDescent="0.3">
      <c r="A111" s="67">
        <v>107</v>
      </c>
      <c r="B111" s="71" t="s">
        <v>61</v>
      </c>
      <c r="C111" s="143">
        <f>(15*8*190)*(C48+C49)</f>
        <v>45600</v>
      </c>
      <c r="D111" s="143">
        <f t="shared" ref="D111:F111" si="41">(13.75*8*190)*(D48+D49)</f>
        <v>0</v>
      </c>
      <c r="E111" s="143">
        <f t="shared" si="41"/>
        <v>0</v>
      </c>
      <c r="F111" s="143">
        <f t="shared" si="41"/>
        <v>0</v>
      </c>
      <c r="G111" s="143"/>
      <c r="H111" s="143"/>
      <c r="I111" s="143">
        <f t="shared" si="38"/>
        <v>45600</v>
      </c>
      <c r="J111" s="226"/>
      <c r="L111" s="221"/>
      <c r="M111" s="221"/>
      <c r="N111" s="221"/>
      <c r="O111" s="221"/>
    </row>
    <row r="112" spans="1:15" x14ac:dyDescent="0.3">
      <c r="A112" s="67">
        <v>102</v>
      </c>
      <c r="B112" s="71" t="s">
        <v>426</v>
      </c>
      <c r="C112" s="143">
        <f>(14.75*8*180)*C50</f>
        <v>0</v>
      </c>
      <c r="D112" s="143">
        <f>(15*8*180)*D50</f>
        <v>0</v>
      </c>
      <c r="E112" s="143">
        <f>(15*8*180)*E50</f>
        <v>21600</v>
      </c>
      <c r="F112" s="143">
        <f t="shared" ref="F112" si="42">(14.75*8*180)*F50</f>
        <v>0</v>
      </c>
      <c r="G112" s="143">
        <f>(15*8*180)*G50</f>
        <v>64800</v>
      </c>
      <c r="H112" s="143"/>
      <c r="I112" s="143">
        <f t="shared" si="38"/>
        <v>86400</v>
      </c>
      <c r="J112" s="226"/>
    </row>
    <row r="113" spans="1:15" x14ac:dyDescent="0.3">
      <c r="A113" s="67">
        <v>107</v>
      </c>
      <c r="B113" s="410" t="s">
        <v>457</v>
      </c>
      <c r="C113" s="143">
        <f>(16.25*8*240)*C51</f>
        <v>31200</v>
      </c>
      <c r="D113" s="143"/>
      <c r="E113" s="143"/>
      <c r="F113" s="143"/>
      <c r="G113" s="143"/>
      <c r="H113" s="143"/>
      <c r="I113" s="143">
        <f t="shared" si="38"/>
        <v>31200</v>
      </c>
      <c r="J113" s="226"/>
    </row>
    <row r="114" spans="1:15" x14ac:dyDescent="0.3">
      <c r="A114" s="67">
        <v>107</v>
      </c>
      <c r="B114" s="71" t="s">
        <v>64</v>
      </c>
      <c r="C114" s="143"/>
      <c r="D114" s="143"/>
      <c r="E114" s="143"/>
      <c r="F114" s="143"/>
      <c r="G114" s="143"/>
      <c r="H114" s="143"/>
      <c r="I114" s="143">
        <f t="shared" si="38"/>
        <v>0</v>
      </c>
      <c r="J114" s="226"/>
    </row>
    <row r="115" spans="1:15" ht="15" thickBot="1" x14ac:dyDescent="0.35">
      <c r="A115" s="63"/>
      <c r="B115" s="516" t="s">
        <v>443</v>
      </c>
      <c r="C115" s="517">
        <f>SUM(C102:C114)</f>
        <v>1603351.8818699999</v>
      </c>
      <c r="D115" s="517">
        <f t="shared" ref="D115:I115" si="43">SUM(D102:D114)</f>
        <v>180310.69</v>
      </c>
      <c r="E115" s="517">
        <f t="shared" si="43"/>
        <v>183600</v>
      </c>
      <c r="F115" s="517">
        <f t="shared" si="43"/>
        <v>0</v>
      </c>
      <c r="G115" s="517">
        <f t="shared" si="43"/>
        <v>125365.04999999999</v>
      </c>
      <c r="H115" s="517">
        <f t="shared" si="43"/>
        <v>0</v>
      </c>
      <c r="I115" s="517">
        <f t="shared" si="43"/>
        <v>2092627.6218699999</v>
      </c>
      <c r="J115" s="236"/>
    </row>
    <row r="116" spans="1:15" x14ac:dyDescent="0.3">
      <c r="A116" s="70"/>
      <c r="B116" s="135" t="s">
        <v>66</v>
      </c>
      <c r="C116" s="150" t="str">
        <f t="shared" ref="C116:I116" si="44">C1</f>
        <v>Operating</v>
      </c>
      <c r="D116" s="150" t="str">
        <f t="shared" si="44"/>
        <v>Weights</v>
      </c>
      <c r="E116" s="150" t="str">
        <f t="shared" si="44"/>
        <v>SPED</v>
      </c>
      <c r="F116" s="150" t="str">
        <f t="shared" si="44"/>
        <v>NSLP</v>
      </c>
      <c r="G116" s="150" t="str">
        <f t="shared" si="44"/>
        <v>Title 1</v>
      </c>
      <c r="H116" s="150" t="str">
        <f t="shared" si="44"/>
        <v>Title 2</v>
      </c>
      <c r="I116" s="150" t="str">
        <f t="shared" si="44"/>
        <v>Total</v>
      </c>
      <c r="J116" s="230"/>
    </row>
    <row r="117" spans="1:15" hidden="1" x14ac:dyDescent="0.3">
      <c r="A117" s="67"/>
      <c r="B117" s="71" t="s">
        <v>67</v>
      </c>
      <c r="C117" s="143"/>
      <c r="D117" s="143"/>
      <c r="E117" s="143"/>
      <c r="F117" s="143"/>
      <c r="G117" s="143"/>
      <c r="H117" s="143"/>
      <c r="I117" s="147">
        <f t="shared" ref="I117:I123" si="45">SUM(C117:H117)</f>
        <v>0</v>
      </c>
      <c r="J117" s="225"/>
    </row>
    <row r="118" spans="1:15" x14ac:dyDescent="0.3">
      <c r="A118" s="67"/>
      <c r="B118" s="71" t="s">
        <v>37</v>
      </c>
      <c r="C118" s="143"/>
      <c r="D118" s="143"/>
      <c r="E118" s="143"/>
      <c r="F118" s="143"/>
      <c r="G118" s="143"/>
      <c r="H118" s="143"/>
      <c r="I118" s="147">
        <f t="shared" si="45"/>
        <v>0</v>
      </c>
      <c r="J118" s="225"/>
    </row>
    <row r="119" spans="1:15" x14ac:dyDescent="0.3">
      <c r="A119" s="67"/>
      <c r="B119" s="71" t="s">
        <v>38</v>
      </c>
      <c r="C119" s="143"/>
      <c r="D119" s="143"/>
      <c r="E119" s="143"/>
      <c r="F119" s="143"/>
      <c r="G119" s="143"/>
      <c r="H119" s="143"/>
      <c r="I119" s="147">
        <f t="shared" si="45"/>
        <v>0</v>
      </c>
      <c r="J119" s="225"/>
    </row>
    <row r="120" spans="1:15" x14ac:dyDescent="0.3">
      <c r="A120" s="67"/>
      <c r="B120" s="71" t="s">
        <v>39</v>
      </c>
      <c r="C120" s="143"/>
      <c r="D120" s="143"/>
      <c r="E120" s="143"/>
      <c r="F120" s="143"/>
      <c r="G120" s="143"/>
      <c r="H120" s="143"/>
      <c r="I120" s="147">
        <f t="shared" si="45"/>
        <v>0</v>
      </c>
      <c r="J120" s="225"/>
    </row>
    <row r="121" spans="1:15" x14ac:dyDescent="0.3">
      <c r="A121" s="67"/>
      <c r="B121" s="71" t="s">
        <v>40</v>
      </c>
      <c r="C121" s="143"/>
      <c r="D121" s="143"/>
      <c r="E121" s="143"/>
      <c r="F121" s="143"/>
      <c r="G121" s="143"/>
      <c r="H121" s="143"/>
      <c r="I121" s="147">
        <f t="shared" si="45"/>
        <v>0</v>
      </c>
      <c r="J121" s="225"/>
    </row>
    <row r="122" spans="1:15" x14ac:dyDescent="0.3">
      <c r="A122" s="67"/>
      <c r="B122" s="71" t="s">
        <v>68</v>
      </c>
      <c r="C122" s="143"/>
      <c r="D122" s="143"/>
      <c r="E122" s="143"/>
      <c r="F122" s="143"/>
      <c r="G122" s="143"/>
      <c r="H122" s="143"/>
      <c r="I122" s="147">
        <f t="shared" si="45"/>
        <v>0</v>
      </c>
      <c r="J122" s="225"/>
    </row>
    <row r="123" spans="1:15" x14ac:dyDescent="0.3">
      <c r="A123" s="67"/>
      <c r="B123" s="71" t="s">
        <v>50</v>
      </c>
      <c r="C123" s="143">
        <v>0</v>
      </c>
      <c r="D123" s="143"/>
      <c r="E123" s="143"/>
      <c r="F123" s="143"/>
      <c r="G123" s="143"/>
      <c r="H123" s="143"/>
      <c r="I123" s="147">
        <f t="shared" si="45"/>
        <v>0</v>
      </c>
      <c r="J123" s="225"/>
    </row>
    <row r="124" spans="1:15" x14ac:dyDescent="0.3">
      <c r="A124" s="67"/>
      <c r="B124" s="410" t="s">
        <v>173</v>
      </c>
      <c r="C124" s="143"/>
      <c r="D124" s="143"/>
      <c r="E124" s="143"/>
      <c r="F124" s="143"/>
      <c r="G124" s="143"/>
      <c r="H124" s="143"/>
      <c r="I124" s="147"/>
      <c r="J124" s="225"/>
    </row>
    <row r="125" spans="1:15" x14ac:dyDescent="0.3">
      <c r="A125" s="67">
        <v>107</v>
      </c>
      <c r="B125" s="71" t="s">
        <v>69</v>
      </c>
      <c r="C125" s="145">
        <f>(13.5*8*185)*C52</f>
        <v>0</v>
      </c>
      <c r="D125" s="145">
        <f t="shared" ref="D125:E125" si="46">(13.5*8*185)*D52</f>
        <v>0</v>
      </c>
      <c r="E125" s="145">
        <f t="shared" si="46"/>
        <v>0</v>
      </c>
      <c r="F125" s="145">
        <f>(15*8*185)*F52</f>
        <v>22200</v>
      </c>
      <c r="G125" s="143"/>
      <c r="H125" s="143"/>
      <c r="I125" s="143">
        <f>SUM(C125:H125)</f>
        <v>22200</v>
      </c>
      <c r="J125" s="225"/>
    </row>
    <row r="126" spans="1:15" x14ac:dyDescent="0.3">
      <c r="A126" s="74"/>
      <c r="B126" s="71" t="s">
        <v>70</v>
      </c>
      <c r="C126" s="153">
        <v>0</v>
      </c>
      <c r="D126" s="143"/>
      <c r="E126" s="143"/>
      <c r="F126" s="143"/>
      <c r="G126" s="143"/>
      <c r="H126" s="143"/>
      <c r="I126" s="147">
        <f>SUM(C126:H126)</f>
        <v>0</v>
      </c>
      <c r="J126" s="225"/>
    </row>
    <row r="127" spans="1:15" ht="15" thickBot="1" x14ac:dyDescent="0.35">
      <c r="A127" s="63"/>
      <c r="B127" s="520" t="s">
        <v>444</v>
      </c>
      <c r="C127" s="519">
        <f>SUM(C117:C126)</f>
        <v>0</v>
      </c>
      <c r="D127" s="519">
        <f t="shared" ref="D127:I127" si="47">SUM(D117:D126)</f>
        <v>0</v>
      </c>
      <c r="E127" s="519">
        <f t="shared" si="47"/>
        <v>0</v>
      </c>
      <c r="F127" s="519">
        <f t="shared" si="47"/>
        <v>22200</v>
      </c>
      <c r="G127" s="519">
        <f t="shared" si="47"/>
        <v>0</v>
      </c>
      <c r="H127" s="519">
        <f t="shared" si="47"/>
        <v>0</v>
      </c>
      <c r="I127" s="519">
        <f t="shared" si="47"/>
        <v>22200</v>
      </c>
      <c r="J127" s="236"/>
    </row>
    <row r="128" spans="1:15" ht="15" thickBot="1" x14ac:dyDescent="0.35">
      <c r="A128" s="91"/>
      <c r="B128" s="521" t="s">
        <v>445</v>
      </c>
      <c r="C128" s="483">
        <f>C115+C127</f>
        <v>1603351.8818699999</v>
      </c>
      <c r="D128" s="483">
        <f t="shared" ref="D128:I128" si="48">D115+D127</f>
        <v>180310.69</v>
      </c>
      <c r="E128" s="483">
        <f t="shared" si="48"/>
        <v>183600</v>
      </c>
      <c r="F128" s="483">
        <f t="shared" si="48"/>
        <v>22200</v>
      </c>
      <c r="G128" s="483">
        <f t="shared" si="48"/>
        <v>125365.04999999999</v>
      </c>
      <c r="H128" s="483">
        <f t="shared" si="48"/>
        <v>0</v>
      </c>
      <c r="I128" s="483">
        <f t="shared" si="48"/>
        <v>2114827.6218699999</v>
      </c>
      <c r="J128" s="225"/>
      <c r="K128" s="223">
        <f t="shared" ref="K128:O128" si="49">SUM(K129:K130)</f>
        <v>0.47249999999999998</v>
      </c>
      <c r="L128" s="223">
        <f t="shared" si="49"/>
        <v>0.47749999999999998</v>
      </c>
      <c r="M128" s="223">
        <f t="shared" si="49"/>
        <v>0.48249999999999998</v>
      </c>
      <c r="N128" s="223">
        <f t="shared" si="49"/>
        <v>0.48749999999999999</v>
      </c>
      <c r="O128" s="223">
        <f t="shared" si="49"/>
        <v>0.49249999999999999</v>
      </c>
    </row>
    <row r="129" spans="1:15" x14ac:dyDescent="0.3">
      <c r="A129" s="78">
        <v>230</v>
      </c>
      <c r="B129" s="71" t="s">
        <v>340</v>
      </c>
      <c r="C129" s="157">
        <f t="shared" ref="C129:G129" si="50">C128*0.2975</f>
        <v>476997.18485632498</v>
      </c>
      <c r="D129" s="157">
        <f t="shared" si="50"/>
        <v>53642.430274999999</v>
      </c>
      <c r="E129" s="157">
        <f t="shared" si="50"/>
        <v>54621</v>
      </c>
      <c r="F129" s="157">
        <f t="shared" si="50"/>
        <v>6604.5</v>
      </c>
      <c r="G129" s="157">
        <f t="shared" si="50"/>
        <v>37296.102374999995</v>
      </c>
      <c r="H129" s="157"/>
      <c r="I129" s="143">
        <f t="shared" ref="I129:I134" si="51">SUM(C129:H129)</f>
        <v>629161.21750632499</v>
      </c>
      <c r="J129" s="225"/>
      <c r="K129" s="223">
        <v>0.29249999999999998</v>
      </c>
      <c r="L129" s="223">
        <f>K129</f>
        <v>0.29249999999999998</v>
      </c>
      <c r="M129" s="223">
        <f>L129</f>
        <v>0.29249999999999998</v>
      </c>
      <c r="N129" s="223">
        <f>M129</f>
        <v>0.29249999999999998</v>
      </c>
      <c r="O129" s="223">
        <f>N129</f>
        <v>0.29249999999999998</v>
      </c>
    </row>
    <row r="130" spans="1:15" x14ac:dyDescent="0.3">
      <c r="A130" s="94"/>
      <c r="B130" s="71" t="s">
        <v>73</v>
      </c>
      <c r="C130" s="143">
        <f>C128*0.2</f>
        <v>320670.37637399998</v>
      </c>
      <c r="D130" s="143">
        <f t="shared" ref="D130:G130" si="52">D128*0.2</f>
        <v>36062.137999999999</v>
      </c>
      <c r="E130" s="143">
        <f t="shared" si="52"/>
        <v>36720</v>
      </c>
      <c r="F130" s="143">
        <f t="shared" si="52"/>
        <v>4440</v>
      </c>
      <c r="G130" s="143">
        <f t="shared" si="52"/>
        <v>25073.01</v>
      </c>
      <c r="H130" s="143"/>
      <c r="I130" s="143">
        <f t="shared" si="51"/>
        <v>422965.52437399997</v>
      </c>
      <c r="J130" s="225"/>
      <c r="K130" s="223">
        <v>0.18</v>
      </c>
      <c r="L130" s="223">
        <f>K130+0.5%</f>
        <v>0.185</v>
      </c>
      <c r="M130" s="223">
        <f>L130+0.5%</f>
        <v>0.19</v>
      </c>
      <c r="N130" s="223">
        <f>M130+0.5%</f>
        <v>0.19500000000000001</v>
      </c>
      <c r="O130" s="223">
        <f>N130+0.5%</f>
        <v>0.2</v>
      </c>
    </row>
    <row r="131" spans="1:15" x14ac:dyDescent="0.3">
      <c r="A131" s="67">
        <v>150</v>
      </c>
      <c r="B131" s="71" t="s">
        <v>74</v>
      </c>
      <c r="C131" s="142">
        <f>((((2500*C41)+(125*C41))+((2000*C42)+(125*C42))+((1500*(C43+C44+C45))+(125*(C43+C44+C45)))+(1000*(C46+C47))+(125*(C46+C47))+((300*(C48+C49+C50+C51+C52)+(125*(C48+C49+C50+C51+C52)))+((1000*(C37+C53+C54+C55+C56+C58))+(125*(C37+C53+C54+C55+C56+C58))))+(125*3)+(1000*3))*0.93)-C132</f>
        <v>36409.5</v>
      </c>
      <c r="D131" s="142">
        <f t="shared" ref="D131:H131" si="53">((((2500*D41)+(125*D41))+((2000*D42)+(125*D42))+((1500*(D43+D44+D45))+(125*(D43+D44+D45)))+(1000*(D46+D47))+(125*(D46+D47))+((300*(D48+D49+D50+D51+D52)+(125*(D48+D49+D50+D51+D52)))+((1000*(D37+D53+D54+D55+D56+D58))+(125*(D37+D53+D54+D55+D56+D58))))+(125*3)+(1000*3))*0.93)-D132</f>
        <v>5696.25</v>
      </c>
      <c r="E131" s="142">
        <f>((((2500*E41)+(125*E41))+((2000*E42)+(125*E42))+((1500*(E43+E44+E45))+(125*(E43+E44+E45)))+(1000*(E46+E47))+(125*(E46+E47))+((300*(E48+E49+E50+E51+E52)+(125*(E48+E49+E50+E51+E52)))+((1000*(E37+E53+E54+E55+E56+E58))+(125*(E37+E53+E54+E55+E56+E58))))+(125*3)+(1000*3))*0.93)-E132</f>
        <v>6672.75</v>
      </c>
      <c r="F131" s="142">
        <f t="shared" si="53"/>
        <v>3534</v>
      </c>
      <c r="G131" s="142">
        <v>0</v>
      </c>
      <c r="H131" s="142">
        <f t="shared" si="53"/>
        <v>3138.75</v>
      </c>
      <c r="I131" s="143">
        <f t="shared" si="51"/>
        <v>55451.25</v>
      </c>
      <c r="J131" s="225"/>
    </row>
    <row r="132" spans="1:15" x14ac:dyDescent="0.3">
      <c r="A132" s="67"/>
      <c r="B132" s="71" t="s">
        <v>75</v>
      </c>
      <c r="C132" s="143">
        <v>0</v>
      </c>
      <c r="D132" s="145"/>
      <c r="E132" s="145"/>
      <c r="F132" s="145"/>
      <c r="G132" s="145"/>
      <c r="H132" s="145"/>
      <c r="I132" s="143">
        <f t="shared" si="51"/>
        <v>0</v>
      </c>
      <c r="J132" s="225"/>
    </row>
    <row r="133" spans="1:15" x14ac:dyDescent="0.3">
      <c r="A133" s="67">
        <v>250</v>
      </c>
      <c r="B133" s="71" t="s">
        <v>76</v>
      </c>
      <c r="C133" s="145">
        <f>1800*3.25</f>
        <v>5850</v>
      </c>
      <c r="D133" s="145"/>
      <c r="E133" s="145"/>
      <c r="F133" s="145"/>
      <c r="G133" s="145"/>
      <c r="H133" s="145"/>
      <c r="I133" s="143">
        <f t="shared" si="51"/>
        <v>5850</v>
      </c>
      <c r="J133" s="225"/>
    </row>
    <row r="134" spans="1:15" ht="15" thickBot="1" x14ac:dyDescent="0.35">
      <c r="A134" s="74"/>
      <c r="B134" s="71" t="s">
        <v>77</v>
      </c>
      <c r="C134" s="153">
        <f>(175*10*C37)-C126</f>
        <v>41125</v>
      </c>
      <c r="D134" s="153">
        <f t="shared" ref="D134:H134" si="54">(175*10*D37)-D126</f>
        <v>0</v>
      </c>
      <c r="E134" s="153">
        <f t="shared" si="54"/>
        <v>5250</v>
      </c>
      <c r="F134" s="153">
        <f t="shared" si="54"/>
        <v>0</v>
      </c>
      <c r="G134" s="153">
        <f t="shared" si="54"/>
        <v>0</v>
      </c>
      <c r="H134" s="153">
        <f t="shared" si="54"/>
        <v>0</v>
      </c>
      <c r="I134" s="143">
        <f t="shared" si="51"/>
        <v>46375</v>
      </c>
      <c r="J134" s="225"/>
    </row>
    <row r="135" spans="1:15" ht="15" thickBot="1" x14ac:dyDescent="0.35">
      <c r="A135" s="95"/>
      <c r="B135" s="522" t="s">
        <v>446</v>
      </c>
      <c r="C135" s="523">
        <f>SUM(C129:C134)</f>
        <v>881052.06123032491</v>
      </c>
      <c r="D135" s="523">
        <f t="shared" ref="D135:I135" si="55">SUM(D129:D134)</f>
        <v>95400.818274999998</v>
      </c>
      <c r="E135" s="523">
        <f t="shared" si="55"/>
        <v>103263.75</v>
      </c>
      <c r="F135" s="523">
        <f t="shared" si="55"/>
        <v>14578.5</v>
      </c>
      <c r="G135" s="523">
        <f t="shared" si="55"/>
        <v>62369.112374999997</v>
      </c>
      <c r="H135" s="523">
        <f t="shared" si="55"/>
        <v>3138.75</v>
      </c>
      <c r="I135" s="523">
        <f t="shared" si="55"/>
        <v>1159802.9918803249</v>
      </c>
      <c r="J135" s="225"/>
    </row>
    <row r="136" spans="1:15" ht="15" thickBot="1" x14ac:dyDescent="0.35">
      <c r="A136" s="482"/>
      <c r="B136" s="524" t="s">
        <v>78</v>
      </c>
      <c r="C136" s="483">
        <f>C128+C135</f>
        <v>2484403.9431003248</v>
      </c>
      <c r="D136" s="483">
        <f t="shared" ref="D136:I136" si="56">D128+D135</f>
        <v>275711.50827500003</v>
      </c>
      <c r="E136" s="483">
        <f t="shared" si="56"/>
        <v>286863.75</v>
      </c>
      <c r="F136" s="483">
        <f t="shared" si="56"/>
        <v>36778.5</v>
      </c>
      <c r="G136" s="483">
        <f t="shared" si="56"/>
        <v>187734.16237499999</v>
      </c>
      <c r="H136" s="483">
        <f t="shared" si="56"/>
        <v>3138.75</v>
      </c>
      <c r="I136" s="483">
        <f t="shared" si="56"/>
        <v>3274630.6137503246</v>
      </c>
      <c r="J136" s="225"/>
    </row>
    <row r="137" spans="1:15" x14ac:dyDescent="0.3">
      <c r="A137" s="98"/>
      <c r="B137" s="99" t="s">
        <v>79</v>
      </c>
      <c r="C137" s="150" t="str">
        <f t="shared" ref="C137:I137" si="57">C1</f>
        <v>Operating</v>
      </c>
      <c r="D137" s="150" t="str">
        <f t="shared" si="57"/>
        <v>Weights</v>
      </c>
      <c r="E137" s="150" t="str">
        <f t="shared" si="57"/>
        <v>SPED</v>
      </c>
      <c r="F137" s="150" t="str">
        <f t="shared" si="57"/>
        <v>NSLP</v>
      </c>
      <c r="G137" s="150" t="str">
        <f t="shared" si="57"/>
        <v>Title 1</v>
      </c>
      <c r="H137" s="150" t="str">
        <f t="shared" si="57"/>
        <v>Title 2</v>
      </c>
      <c r="I137" s="150" t="str">
        <f t="shared" si="57"/>
        <v>Total</v>
      </c>
      <c r="J137" s="230"/>
    </row>
    <row r="138" spans="1:15" x14ac:dyDescent="0.3">
      <c r="A138" s="94"/>
      <c r="B138" s="100" t="s">
        <v>80</v>
      </c>
      <c r="C138" s="143">
        <f>140*C19</f>
        <v>79800</v>
      </c>
      <c r="D138" s="145"/>
      <c r="E138" s="145"/>
      <c r="F138" s="145"/>
      <c r="G138" s="145"/>
      <c r="H138" s="145"/>
      <c r="I138" s="143">
        <f>SUM(C138:H138)</f>
        <v>79800</v>
      </c>
      <c r="J138" s="225"/>
    </row>
    <row r="139" spans="1:15" hidden="1" x14ac:dyDescent="0.3">
      <c r="A139" s="94"/>
      <c r="B139" s="527" t="s">
        <v>435</v>
      </c>
      <c r="C139" s="143">
        <v>0</v>
      </c>
      <c r="D139" s="145"/>
      <c r="E139" s="145"/>
      <c r="F139" s="145"/>
      <c r="G139" s="145"/>
      <c r="H139" s="145"/>
      <c r="I139" s="143">
        <f>SUM(C139:H139)</f>
        <v>0</v>
      </c>
      <c r="J139" s="225"/>
    </row>
    <row r="140" spans="1:15" x14ac:dyDescent="0.3">
      <c r="A140" s="94"/>
      <c r="B140" s="410" t="s">
        <v>461</v>
      </c>
      <c r="C140" s="145">
        <v>75000</v>
      </c>
      <c r="D140" s="145"/>
      <c r="E140" s="145"/>
      <c r="F140" s="145"/>
      <c r="G140" s="145"/>
      <c r="H140" s="145"/>
      <c r="I140" s="143">
        <f>SUM(C140:H140)</f>
        <v>75000</v>
      </c>
      <c r="J140" s="225" t="s">
        <v>402</v>
      </c>
    </row>
    <row r="141" spans="1:15" x14ac:dyDescent="0.3">
      <c r="A141" s="94"/>
      <c r="B141" s="409" t="s">
        <v>437</v>
      </c>
      <c r="C141" s="145">
        <v>0</v>
      </c>
      <c r="D141" s="145"/>
      <c r="E141" s="145"/>
      <c r="F141" s="145"/>
      <c r="G141" s="145"/>
      <c r="H141" s="145"/>
      <c r="I141" s="143">
        <f>SUM(C141:H141)</f>
        <v>0</v>
      </c>
      <c r="J141" s="225"/>
    </row>
    <row r="142" spans="1:15" x14ac:dyDescent="0.3">
      <c r="A142" s="67">
        <v>610</v>
      </c>
      <c r="B142" s="71" t="s">
        <v>83</v>
      </c>
      <c r="C142" s="143">
        <f>14*C19</f>
        <v>7980</v>
      </c>
      <c r="D142" s="145"/>
      <c r="E142" s="145"/>
      <c r="F142" s="145">
        <v>2000</v>
      </c>
      <c r="G142" s="145"/>
      <c r="H142" s="145"/>
      <c r="I142" s="143">
        <f t="shared" ref="I142:I147" si="58">SUM(C142:H142)</f>
        <v>9980</v>
      </c>
      <c r="J142" s="225"/>
    </row>
    <row r="143" spans="1:15" x14ac:dyDescent="0.3">
      <c r="A143" s="67">
        <v>610</v>
      </c>
      <c r="B143" s="71" t="s">
        <v>84</v>
      </c>
      <c r="C143" s="143">
        <f>29*C19</f>
        <v>16530</v>
      </c>
      <c r="D143" s="145"/>
      <c r="E143" s="145"/>
      <c r="F143" s="145"/>
      <c r="G143" s="145">
        <v>18500</v>
      </c>
      <c r="H143" s="145"/>
      <c r="I143" s="143">
        <f t="shared" si="58"/>
        <v>35030</v>
      </c>
      <c r="J143" s="225"/>
    </row>
    <row r="144" spans="1:15" x14ac:dyDescent="0.3">
      <c r="A144" s="67">
        <v>610</v>
      </c>
      <c r="B144" s="71" t="s">
        <v>85</v>
      </c>
      <c r="C144" s="143">
        <f>4.25*C19</f>
        <v>2422.5</v>
      </c>
      <c r="D144" s="145"/>
      <c r="E144" s="145"/>
      <c r="F144" s="145"/>
      <c r="G144" s="145"/>
      <c r="H144" s="145"/>
      <c r="I144" s="143">
        <f t="shared" si="58"/>
        <v>2422.5</v>
      </c>
      <c r="J144" s="225"/>
    </row>
    <row r="145" spans="1:17" x14ac:dyDescent="0.3">
      <c r="A145" s="67">
        <v>610</v>
      </c>
      <c r="B145" s="71" t="s">
        <v>86</v>
      </c>
      <c r="C145" s="143">
        <f>3.25*C19</f>
        <v>1852.5</v>
      </c>
      <c r="D145" s="145"/>
      <c r="E145" s="145"/>
      <c r="F145" s="145"/>
      <c r="G145" s="145"/>
      <c r="H145" s="145"/>
      <c r="I145" s="143">
        <f t="shared" si="58"/>
        <v>1852.5</v>
      </c>
      <c r="J145" s="225"/>
    </row>
    <row r="146" spans="1:17" x14ac:dyDescent="0.3">
      <c r="A146" s="67">
        <v>610</v>
      </c>
      <c r="B146" s="71" t="s">
        <v>87</v>
      </c>
      <c r="C146" s="143">
        <f>120*C22</f>
        <v>0</v>
      </c>
      <c r="D146" s="145"/>
      <c r="E146" s="145">
        <f>129*E22</f>
        <v>8823.5999999999985</v>
      </c>
      <c r="F146" s="145"/>
      <c r="G146" s="145"/>
      <c r="H146" s="145"/>
      <c r="I146" s="143">
        <f t="shared" si="58"/>
        <v>8823.5999999999985</v>
      </c>
      <c r="J146" s="225"/>
    </row>
    <row r="147" spans="1:17" ht="15" thickBot="1" x14ac:dyDescent="0.35">
      <c r="A147" s="102"/>
      <c r="B147" s="71" t="s">
        <v>88</v>
      </c>
      <c r="C147" s="153">
        <v>0</v>
      </c>
      <c r="D147" s="153"/>
      <c r="E147" s="153"/>
      <c r="F147" s="153"/>
      <c r="G147" s="153"/>
      <c r="H147" s="153"/>
      <c r="I147" s="143">
        <f t="shared" si="58"/>
        <v>0</v>
      </c>
      <c r="J147" s="225"/>
    </row>
    <row r="148" spans="1:17" s="222" customFormat="1" ht="15" thickBot="1" x14ac:dyDescent="0.35">
      <c r="A148" s="103"/>
      <c r="B148" s="528" t="s">
        <v>89</v>
      </c>
      <c r="C148" s="483">
        <f>SUM(C138:C147)</f>
        <v>183585</v>
      </c>
      <c r="D148" s="483">
        <f t="shared" ref="D148:I148" si="59">SUM(D138:D147)</f>
        <v>0</v>
      </c>
      <c r="E148" s="483">
        <f t="shared" si="59"/>
        <v>8823.5999999999985</v>
      </c>
      <c r="F148" s="483">
        <f t="shared" si="59"/>
        <v>2000</v>
      </c>
      <c r="G148" s="483">
        <f t="shared" si="59"/>
        <v>18500</v>
      </c>
      <c r="H148" s="483">
        <f t="shared" si="59"/>
        <v>0</v>
      </c>
      <c r="I148" s="483">
        <f t="shared" si="59"/>
        <v>212908.6</v>
      </c>
      <c r="J148" s="237"/>
    </row>
    <row r="149" spans="1:17" s="222" customFormat="1" ht="15" thickBot="1" x14ac:dyDescent="0.35">
      <c r="A149" s="107"/>
      <c r="B149" s="108" t="s">
        <v>90</v>
      </c>
      <c r="C149" s="162"/>
      <c r="D149" s="162"/>
      <c r="E149" s="162"/>
      <c r="F149" s="162"/>
      <c r="G149" s="162"/>
      <c r="H149" s="162"/>
      <c r="I149" s="162"/>
      <c r="J149" s="237"/>
    </row>
    <row r="150" spans="1:17" s="222" customFormat="1" x14ac:dyDescent="0.3">
      <c r="A150" s="78">
        <v>320</v>
      </c>
      <c r="B150" s="71" t="s">
        <v>91</v>
      </c>
      <c r="C150" s="145">
        <f>'25-26'!C150*1.03</f>
        <v>0</v>
      </c>
      <c r="D150" s="145">
        <f>12000*1.09</f>
        <v>13080.000000000002</v>
      </c>
      <c r="E150" s="145"/>
      <c r="F150" s="145"/>
      <c r="G150" s="145"/>
      <c r="H150" s="145"/>
      <c r="I150" s="143">
        <f t="shared" ref="I150:I160" si="60">SUM(C150:H150)</f>
        <v>13080.000000000002</v>
      </c>
      <c r="J150" s="237"/>
      <c r="K150" s="219"/>
    </row>
    <row r="151" spans="1:17" x14ac:dyDescent="0.3">
      <c r="A151" s="67">
        <v>300</v>
      </c>
      <c r="B151" s="71" t="s">
        <v>92</v>
      </c>
      <c r="C151" s="145">
        <v>0</v>
      </c>
      <c r="D151" s="143"/>
      <c r="E151" s="143">
        <f>275*C19</f>
        <v>156750</v>
      </c>
      <c r="F151" s="143"/>
      <c r="G151" s="143"/>
      <c r="H151" s="143"/>
      <c r="I151" s="143">
        <f t="shared" si="60"/>
        <v>156750</v>
      </c>
      <c r="J151" s="225"/>
    </row>
    <row r="152" spans="1:17" x14ac:dyDescent="0.3">
      <c r="A152" s="67">
        <v>310</v>
      </c>
      <c r="B152" s="71" t="s">
        <v>347</v>
      </c>
      <c r="C152" s="145">
        <v>0</v>
      </c>
      <c r="D152" s="143"/>
      <c r="E152" s="143"/>
      <c r="F152" s="143"/>
      <c r="G152" s="143"/>
      <c r="H152" s="143"/>
      <c r="I152" s="143">
        <f t="shared" si="60"/>
        <v>0</v>
      </c>
      <c r="J152" s="225"/>
      <c r="K152" s="259"/>
      <c r="L152" s="259"/>
      <c r="M152" s="259"/>
      <c r="N152" s="259"/>
      <c r="O152" s="259"/>
    </row>
    <row r="153" spans="1:17" x14ac:dyDescent="0.3">
      <c r="A153" s="67">
        <v>310</v>
      </c>
      <c r="B153" s="71" t="s">
        <v>224</v>
      </c>
      <c r="C153" s="145">
        <f>450*C19</f>
        <v>256500</v>
      </c>
      <c r="D153" s="143"/>
      <c r="E153" s="143"/>
      <c r="F153" s="143"/>
      <c r="G153" s="143"/>
      <c r="H153" s="143"/>
      <c r="I153" s="143">
        <f t="shared" si="60"/>
        <v>256500</v>
      </c>
      <c r="J153" s="225"/>
      <c r="K153" s="259"/>
      <c r="L153" s="259"/>
      <c r="M153" s="259"/>
      <c r="N153" s="259"/>
      <c r="O153" s="259"/>
      <c r="Q153" s="365"/>
    </row>
    <row r="154" spans="1:17" x14ac:dyDescent="0.3">
      <c r="A154" s="67">
        <v>310</v>
      </c>
      <c r="B154" s="71" t="s">
        <v>93</v>
      </c>
      <c r="C154" s="145">
        <f>(240*C64)+1500</f>
        <v>8940</v>
      </c>
      <c r="D154" s="143">
        <f>(240*D64)</f>
        <v>480</v>
      </c>
      <c r="E154" s="143">
        <f>(240*E64)</f>
        <v>960</v>
      </c>
      <c r="F154" s="143">
        <f>(240*F64)</f>
        <v>240</v>
      </c>
      <c r="G154" s="143">
        <f>(240*G64)</f>
        <v>960</v>
      </c>
      <c r="H154" s="143"/>
      <c r="I154" s="143">
        <f t="shared" si="60"/>
        <v>11580</v>
      </c>
      <c r="J154" s="225"/>
      <c r="K154" s="167"/>
      <c r="L154" s="167"/>
      <c r="M154" s="167"/>
      <c r="N154" s="167"/>
      <c r="O154" s="167"/>
    </row>
    <row r="155" spans="1:17" x14ac:dyDescent="0.3">
      <c r="A155" s="67">
        <v>340</v>
      </c>
      <c r="B155" s="71" t="s">
        <v>94</v>
      </c>
      <c r="C155" s="145">
        <f>'25-26'!C155*1.05</f>
        <v>23152.5</v>
      </c>
      <c r="D155" s="143"/>
      <c r="E155" s="143"/>
      <c r="F155" s="143"/>
      <c r="G155" s="143"/>
      <c r="H155" s="143"/>
      <c r="I155" s="143">
        <f t="shared" si="60"/>
        <v>23152.5</v>
      </c>
      <c r="J155" s="225"/>
    </row>
    <row r="156" spans="1:17" x14ac:dyDescent="0.3">
      <c r="A156" s="67">
        <v>340</v>
      </c>
      <c r="B156" s="71" t="s">
        <v>95</v>
      </c>
      <c r="C156" s="145">
        <v>5000</v>
      </c>
      <c r="D156" s="143"/>
      <c r="E156" s="143"/>
      <c r="F156" s="143"/>
      <c r="G156" s="143"/>
      <c r="H156" s="143"/>
      <c r="I156" s="143">
        <f t="shared" si="60"/>
        <v>5000</v>
      </c>
      <c r="J156" s="225"/>
    </row>
    <row r="157" spans="1:17" x14ac:dyDescent="0.3">
      <c r="A157" s="67">
        <v>352</v>
      </c>
      <c r="B157" s="71" t="s">
        <v>96</v>
      </c>
      <c r="C157" s="145">
        <f>45*C19</f>
        <v>25650</v>
      </c>
      <c r="D157" s="143"/>
      <c r="E157" s="143"/>
      <c r="F157" s="143"/>
      <c r="G157" s="143"/>
      <c r="H157" s="143"/>
      <c r="I157" s="143">
        <f t="shared" si="60"/>
        <v>25650</v>
      </c>
      <c r="J157" s="225"/>
    </row>
    <row r="158" spans="1:17" x14ac:dyDescent="0.3">
      <c r="A158" s="67">
        <v>350</v>
      </c>
      <c r="B158" s="71" t="s">
        <v>97</v>
      </c>
      <c r="C158" s="145">
        <v>5000</v>
      </c>
      <c r="D158" s="143"/>
      <c r="E158" s="143"/>
      <c r="F158" s="143"/>
      <c r="G158" s="143"/>
      <c r="H158" s="143"/>
      <c r="I158" s="143">
        <f t="shared" si="60"/>
        <v>5000</v>
      </c>
      <c r="J158" s="225"/>
    </row>
    <row r="159" spans="1:17" x14ac:dyDescent="0.3">
      <c r="A159" s="67">
        <v>591</v>
      </c>
      <c r="B159" s="71" t="s">
        <v>98</v>
      </c>
      <c r="C159" s="145">
        <f>(I86+I89+I92+I93+I94)*0.0125</f>
        <v>60230.673589665261</v>
      </c>
      <c r="D159" s="143">
        <f>(D79+D80+D81)*0.0125</f>
        <v>3279.9433545000002</v>
      </c>
      <c r="E159" s="143"/>
      <c r="F159" s="143"/>
      <c r="G159" s="143"/>
      <c r="H159" s="143"/>
      <c r="I159" s="143">
        <f t="shared" si="60"/>
        <v>63510.61694416526</v>
      </c>
      <c r="J159" s="238"/>
    </row>
    <row r="160" spans="1:17" hidden="1" x14ac:dyDescent="0.3">
      <c r="A160" s="67">
        <v>320</v>
      </c>
      <c r="B160" s="71" t="s">
        <v>341</v>
      </c>
      <c r="C160" s="142"/>
      <c r="D160" s="143"/>
      <c r="E160" s="143"/>
      <c r="F160" s="143"/>
      <c r="G160" s="143"/>
      <c r="H160" s="143"/>
      <c r="I160" s="143">
        <f t="shared" si="60"/>
        <v>0</v>
      </c>
      <c r="J160" s="238"/>
      <c r="K160" s="259"/>
      <c r="L160" s="259"/>
      <c r="M160" s="259"/>
      <c r="N160" s="259"/>
      <c r="O160" s="259"/>
    </row>
    <row r="161" spans="1:15" hidden="1" x14ac:dyDescent="0.3">
      <c r="A161" s="67"/>
      <c r="B161" s="71"/>
      <c r="C161" s="142"/>
      <c r="D161" s="143"/>
      <c r="E161" s="143"/>
      <c r="F161" s="143"/>
      <c r="G161" s="143"/>
      <c r="H161" s="143"/>
      <c r="I161" s="143"/>
      <c r="J161" s="238"/>
      <c r="K161" s="259"/>
      <c r="L161" s="259"/>
      <c r="M161" s="259"/>
      <c r="N161" s="259"/>
      <c r="O161" s="259"/>
    </row>
    <row r="162" spans="1:15" ht="15" thickBot="1" x14ac:dyDescent="0.35">
      <c r="A162" s="67">
        <v>330</v>
      </c>
      <c r="B162" s="71" t="s">
        <v>381</v>
      </c>
      <c r="C162" s="145">
        <f>C86*0.005</f>
        <v>21887.6720940661</v>
      </c>
      <c r="D162" s="143"/>
      <c r="E162" s="143"/>
      <c r="F162" s="143"/>
      <c r="G162" s="143"/>
      <c r="H162" s="143">
        <f>H78</f>
        <v>45900</v>
      </c>
      <c r="I162" s="143">
        <f>SUM(C162:H162)</f>
        <v>67787.672094066103</v>
      </c>
      <c r="J162" s="238"/>
    </row>
    <row r="163" spans="1:15" ht="15" thickBot="1" x14ac:dyDescent="0.35">
      <c r="A163" s="103"/>
      <c r="B163" s="528" t="s">
        <v>447</v>
      </c>
      <c r="C163" s="483">
        <f>SUM(C150:C162)</f>
        <v>406360.84568373137</v>
      </c>
      <c r="D163" s="483">
        <f t="shared" ref="D163:I163" si="61">SUM(D150:D162)</f>
        <v>16839.943354500003</v>
      </c>
      <c r="E163" s="483">
        <f t="shared" si="61"/>
        <v>157710</v>
      </c>
      <c r="F163" s="483">
        <f t="shared" si="61"/>
        <v>240</v>
      </c>
      <c r="G163" s="483">
        <f t="shared" si="61"/>
        <v>960</v>
      </c>
      <c r="H163" s="483">
        <f t="shared" si="61"/>
        <v>45900</v>
      </c>
      <c r="I163" s="483">
        <f t="shared" si="61"/>
        <v>628010.78903823136</v>
      </c>
      <c r="J163" s="225"/>
      <c r="K163" s="260"/>
      <c r="L163" s="260"/>
      <c r="M163" s="260"/>
      <c r="N163" s="260"/>
      <c r="O163" s="260"/>
    </row>
    <row r="164" spans="1:15" ht="15" thickBot="1" x14ac:dyDescent="0.35">
      <c r="A164" s="107"/>
      <c r="B164" s="529" t="s">
        <v>448</v>
      </c>
      <c r="C164" s="150" t="str">
        <f t="shared" ref="C164:I164" si="62">C1</f>
        <v>Operating</v>
      </c>
      <c r="D164" s="150" t="str">
        <f t="shared" si="62"/>
        <v>Weights</v>
      </c>
      <c r="E164" s="150" t="str">
        <f t="shared" si="62"/>
        <v>SPED</v>
      </c>
      <c r="F164" s="150" t="str">
        <f t="shared" si="62"/>
        <v>NSLP</v>
      </c>
      <c r="G164" s="150" t="str">
        <f t="shared" si="62"/>
        <v>Title 1</v>
      </c>
      <c r="H164" s="150" t="str">
        <f t="shared" si="62"/>
        <v>Title 2</v>
      </c>
      <c r="I164" s="150" t="str">
        <f t="shared" si="62"/>
        <v>Total</v>
      </c>
      <c r="J164" s="230"/>
    </row>
    <row r="165" spans="1:15" x14ac:dyDescent="0.3">
      <c r="A165" s="67">
        <v>533</v>
      </c>
      <c r="B165" s="71" t="s">
        <v>103</v>
      </c>
      <c r="C165" s="145">
        <f>'25-26'!C165*1.05</f>
        <v>7293.0375000000004</v>
      </c>
      <c r="D165" s="143"/>
      <c r="E165" s="143"/>
      <c r="F165" s="143"/>
      <c r="G165" s="143"/>
      <c r="H165" s="143"/>
      <c r="I165" s="143">
        <f t="shared" ref="I165:I171" si="63">SUM(C165:H165)</f>
        <v>7293.0375000000004</v>
      </c>
      <c r="J165" s="225"/>
    </row>
    <row r="166" spans="1:15" x14ac:dyDescent="0.3">
      <c r="A166" s="67">
        <v>535</v>
      </c>
      <c r="B166" s="71" t="s">
        <v>104</v>
      </c>
      <c r="C166" s="145">
        <f>'25-26'!C166*1.05</f>
        <v>8508.5437500000007</v>
      </c>
      <c r="D166" s="143"/>
      <c r="E166" s="143"/>
      <c r="F166" s="143"/>
      <c r="G166" s="143"/>
      <c r="H166" s="143"/>
      <c r="I166" s="143">
        <f t="shared" si="63"/>
        <v>8508.5437500000007</v>
      </c>
      <c r="J166" s="225"/>
    </row>
    <row r="167" spans="1:15" x14ac:dyDescent="0.3">
      <c r="A167" s="67">
        <v>534</v>
      </c>
      <c r="B167" s="71" t="s">
        <v>105</v>
      </c>
      <c r="C167" s="143">
        <v>0</v>
      </c>
      <c r="D167" s="143"/>
      <c r="E167" s="143"/>
      <c r="F167" s="143"/>
      <c r="G167" s="143"/>
      <c r="H167" s="143"/>
      <c r="I167" s="143">
        <f t="shared" si="63"/>
        <v>0</v>
      </c>
      <c r="J167" s="225"/>
    </row>
    <row r="168" spans="1:15" x14ac:dyDescent="0.3">
      <c r="A168" s="67">
        <v>531</v>
      </c>
      <c r="B168" s="71" t="s">
        <v>106</v>
      </c>
      <c r="C168" s="143">
        <v>1250</v>
      </c>
      <c r="D168" s="143"/>
      <c r="E168" s="143"/>
      <c r="F168" s="143"/>
      <c r="G168" s="143"/>
      <c r="H168" s="143"/>
      <c r="I168" s="143">
        <f t="shared" si="63"/>
        <v>1250</v>
      </c>
      <c r="J168" s="225"/>
    </row>
    <row r="169" spans="1:15" x14ac:dyDescent="0.3">
      <c r="A169" s="67">
        <v>535</v>
      </c>
      <c r="B169" s="71" t="s">
        <v>107</v>
      </c>
      <c r="C169" s="145">
        <f>'25-26'!C169*1.02</f>
        <v>5412.1607999999997</v>
      </c>
      <c r="D169" s="143"/>
      <c r="E169" s="143"/>
      <c r="F169" s="143"/>
      <c r="G169" s="143"/>
      <c r="H169" s="143"/>
      <c r="I169" s="143">
        <f t="shared" si="63"/>
        <v>5412.1607999999997</v>
      </c>
      <c r="J169" s="225"/>
    </row>
    <row r="170" spans="1:15" x14ac:dyDescent="0.3">
      <c r="A170" s="67">
        <v>443</v>
      </c>
      <c r="B170" s="71" t="s">
        <v>108</v>
      </c>
      <c r="C170" s="145">
        <f>'25-26'!C170*1.05</f>
        <v>19845</v>
      </c>
      <c r="D170" s="143"/>
      <c r="E170" s="143"/>
      <c r="F170" s="143"/>
      <c r="G170" s="143"/>
      <c r="H170" s="143"/>
      <c r="I170" s="143">
        <f t="shared" si="63"/>
        <v>19845</v>
      </c>
      <c r="J170" s="225"/>
    </row>
    <row r="171" spans="1:15" ht="15" thickBot="1" x14ac:dyDescent="0.35">
      <c r="A171" s="67">
        <v>651</v>
      </c>
      <c r="B171" s="71" t="s">
        <v>109</v>
      </c>
      <c r="C171" s="143">
        <f>2500+(C19*2)</f>
        <v>3640</v>
      </c>
      <c r="D171" s="143"/>
      <c r="E171" s="143"/>
      <c r="F171" s="143"/>
      <c r="G171" s="143"/>
      <c r="H171" s="143"/>
      <c r="I171" s="143">
        <f t="shared" si="63"/>
        <v>3640</v>
      </c>
      <c r="J171" s="225"/>
    </row>
    <row r="172" spans="1:15" ht="15" thickBot="1" x14ac:dyDescent="0.35">
      <c r="A172" s="103"/>
      <c r="B172" s="528" t="s">
        <v>449</v>
      </c>
      <c r="C172" s="483">
        <f>SUM(C165:C171)</f>
        <v>45948.742050000001</v>
      </c>
      <c r="D172" s="483">
        <f t="shared" ref="D172:I172" si="64">SUM(D165:D171)</f>
        <v>0</v>
      </c>
      <c r="E172" s="483">
        <f t="shared" si="64"/>
        <v>0</v>
      </c>
      <c r="F172" s="483">
        <f t="shared" si="64"/>
        <v>0</v>
      </c>
      <c r="G172" s="483">
        <f t="shared" si="64"/>
        <v>0</v>
      </c>
      <c r="H172" s="483">
        <f t="shared" si="64"/>
        <v>0</v>
      </c>
      <c r="I172" s="483">
        <f t="shared" si="64"/>
        <v>45948.742050000001</v>
      </c>
      <c r="J172" s="225"/>
    </row>
    <row r="173" spans="1:15" ht="15" thickBot="1" x14ac:dyDescent="0.35">
      <c r="A173" s="107"/>
      <c r="B173" s="108" t="s">
        <v>111</v>
      </c>
      <c r="C173" s="162"/>
      <c r="D173" s="162"/>
      <c r="E173" s="162"/>
      <c r="F173" s="162"/>
      <c r="G173" s="162"/>
      <c r="H173" s="162"/>
      <c r="I173" s="162"/>
      <c r="J173" s="225"/>
    </row>
    <row r="174" spans="1:15" x14ac:dyDescent="0.3">
      <c r="A174" s="67">
        <v>521</v>
      </c>
      <c r="B174" s="71" t="s">
        <v>410</v>
      </c>
      <c r="C174" s="145">
        <f>'25-26'!C174*1.1</f>
        <v>10248.700000000004</v>
      </c>
      <c r="D174" s="143"/>
      <c r="E174" s="143"/>
      <c r="F174" s="143"/>
      <c r="G174" s="143"/>
      <c r="H174" s="143"/>
      <c r="I174" s="143">
        <f>SUM(C174:H174)</f>
        <v>10248.700000000004</v>
      </c>
      <c r="J174" s="225"/>
    </row>
    <row r="175" spans="1:15" x14ac:dyDescent="0.3">
      <c r="A175" s="67">
        <v>522</v>
      </c>
      <c r="B175" s="71" t="s">
        <v>113</v>
      </c>
      <c r="C175" s="145">
        <f>'25-26'!C175*1.1</f>
        <v>7320.5000000000027</v>
      </c>
      <c r="D175" s="143"/>
      <c r="E175" s="143"/>
      <c r="F175" s="143"/>
      <c r="G175" s="143"/>
      <c r="H175" s="143"/>
      <c r="I175" s="143">
        <f>SUM(C175:H175)</f>
        <v>7320.5000000000027</v>
      </c>
      <c r="J175" s="225"/>
      <c r="K175" s="408"/>
    </row>
    <row r="176" spans="1:15" ht="15" thickBot="1" x14ac:dyDescent="0.35">
      <c r="A176" s="67">
        <v>523</v>
      </c>
      <c r="B176" s="71" t="s">
        <v>114</v>
      </c>
      <c r="C176" s="145">
        <f>'25-26'!C176*1.1</f>
        <v>19765.350000000006</v>
      </c>
      <c r="D176" s="143"/>
      <c r="E176" s="143"/>
      <c r="F176" s="143"/>
      <c r="G176" s="143"/>
      <c r="H176" s="143"/>
      <c r="I176" s="143">
        <f>SUM(C176:H176)</f>
        <v>19765.350000000006</v>
      </c>
      <c r="J176" s="225"/>
    </row>
    <row r="177" spans="1:13" ht="15" thickBot="1" x14ac:dyDescent="0.35">
      <c r="A177" s="103"/>
      <c r="B177" s="528" t="s">
        <v>450</v>
      </c>
      <c r="C177" s="483">
        <f>SUM(C174:C176)</f>
        <v>37334.550000000017</v>
      </c>
      <c r="D177" s="483">
        <f t="shared" ref="D177:I177" si="65">SUM(D174:D176)</f>
        <v>0</v>
      </c>
      <c r="E177" s="483">
        <f t="shared" si="65"/>
        <v>0</v>
      </c>
      <c r="F177" s="483">
        <f t="shared" si="65"/>
        <v>0</v>
      </c>
      <c r="G177" s="483">
        <f t="shared" si="65"/>
        <v>0</v>
      </c>
      <c r="H177" s="483">
        <f t="shared" si="65"/>
        <v>0</v>
      </c>
      <c r="I177" s="483">
        <f t="shared" si="65"/>
        <v>37334.550000000017</v>
      </c>
      <c r="J177" s="225"/>
    </row>
    <row r="178" spans="1:13" ht="15" thickBot="1" x14ac:dyDescent="0.35">
      <c r="A178" s="107"/>
      <c r="B178" s="108" t="s">
        <v>116</v>
      </c>
      <c r="C178" s="162"/>
      <c r="D178" s="162"/>
      <c r="E178" s="162"/>
      <c r="F178" s="162"/>
      <c r="G178" s="162"/>
      <c r="H178" s="162"/>
      <c r="I178" s="162"/>
      <c r="J178" s="225"/>
    </row>
    <row r="179" spans="1:13" x14ac:dyDescent="0.3">
      <c r="A179" s="67">
        <v>570</v>
      </c>
      <c r="B179" s="71" t="s">
        <v>392</v>
      </c>
      <c r="C179" s="143">
        <f>((C19*C25)*3*180)</f>
        <v>0</v>
      </c>
      <c r="D179" s="143"/>
      <c r="E179" s="143"/>
      <c r="F179" s="143">
        <f>((C19*F25)*3.25*180)+((C19*F25)*2.5*180)</f>
        <v>507357</v>
      </c>
      <c r="G179" s="143"/>
      <c r="H179" s="143"/>
      <c r="I179" s="143">
        <f t="shared" ref="I179:I187" si="66">SUM(C179:H179)</f>
        <v>507357</v>
      </c>
      <c r="J179" s="239"/>
    </row>
    <row r="180" spans="1:13" x14ac:dyDescent="0.3">
      <c r="A180" s="67">
        <v>540</v>
      </c>
      <c r="B180" s="71" t="s">
        <v>118</v>
      </c>
      <c r="C180" s="145">
        <f>'25-26'!C180*1.04</f>
        <v>5849.2928000000011</v>
      </c>
      <c r="D180" s="143"/>
      <c r="E180" s="143"/>
      <c r="F180" s="143"/>
      <c r="G180" s="143"/>
      <c r="H180" s="143"/>
      <c r="I180" s="143">
        <f t="shared" si="66"/>
        <v>5849.2928000000011</v>
      </c>
      <c r="J180" s="225"/>
    </row>
    <row r="181" spans="1:13" x14ac:dyDescent="0.3">
      <c r="A181" s="67">
        <v>580</v>
      </c>
      <c r="B181" s="71" t="s">
        <v>119</v>
      </c>
      <c r="C181" s="143">
        <v>5000</v>
      </c>
      <c r="D181" s="143"/>
      <c r="E181" s="143"/>
      <c r="F181" s="143"/>
      <c r="G181" s="143"/>
      <c r="H181" s="143"/>
      <c r="I181" s="143">
        <f t="shared" si="66"/>
        <v>5000</v>
      </c>
      <c r="J181" s="225"/>
    </row>
    <row r="182" spans="1:13" x14ac:dyDescent="0.3">
      <c r="A182" s="67">
        <v>340</v>
      </c>
      <c r="B182" s="71" t="s">
        <v>120</v>
      </c>
      <c r="C182" s="143">
        <f>IF((I64-'25-26'!I64)*60&gt;600,(I64-'25-26'!I64)*60,600)</f>
        <v>600</v>
      </c>
      <c r="D182" s="143"/>
      <c r="E182" s="143"/>
      <c r="F182" s="143"/>
      <c r="G182" s="143"/>
      <c r="H182" s="143"/>
      <c r="I182" s="143">
        <f t="shared" si="66"/>
        <v>600</v>
      </c>
      <c r="J182" s="225"/>
    </row>
    <row r="183" spans="1:13" x14ac:dyDescent="0.3">
      <c r="A183" s="112">
        <v>810</v>
      </c>
      <c r="B183" s="71" t="s">
        <v>121</v>
      </c>
      <c r="C183" s="145">
        <v>10250</v>
      </c>
      <c r="D183" s="143"/>
      <c r="E183" s="143"/>
      <c r="F183" s="143"/>
      <c r="G183" s="143"/>
      <c r="H183" s="143"/>
      <c r="I183" s="143">
        <f t="shared" si="66"/>
        <v>10250</v>
      </c>
      <c r="J183" s="225"/>
    </row>
    <row r="184" spans="1:13" hidden="1" x14ac:dyDescent="0.3">
      <c r="A184" s="94"/>
      <c r="B184" s="71" t="s">
        <v>122</v>
      </c>
      <c r="C184" s="145"/>
      <c r="D184" s="143"/>
      <c r="E184" s="143"/>
      <c r="F184" s="143"/>
      <c r="G184" s="143"/>
      <c r="H184" s="143"/>
      <c r="I184" s="143">
        <f t="shared" si="66"/>
        <v>0</v>
      </c>
      <c r="J184" s="225"/>
    </row>
    <row r="185" spans="1:13" x14ac:dyDescent="0.3">
      <c r="A185" s="112"/>
      <c r="B185" s="71" t="s">
        <v>123</v>
      </c>
      <c r="C185" s="145"/>
      <c r="D185" s="143"/>
      <c r="E185" s="143"/>
      <c r="F185" s="143"/>
      <c r="G185" s="143"/>
      <c r="H185" s="143"/>
      <c r="I185" s="143">
        <f t="shared" si="66"/>
        <v>0</v>
      </c>
      <c r="J185" s="225"/>
    </row>
    <row r="186" spans="1:13" x14ac:dyDescent="0.3">
      <c r="A186" s="112"/>
      <c r="B186" s="71" t="s">
        <v>124</v>
      </c>
      <c r="C186" s="145"/>
      <c r="D186" s="143"/>
      <c r="E186" s="143"/>
      <c r="F186" s="143"/>
      <c r="G186" s="143"/>
      <c r="H186" s="143"/>
      <c r="I186" s="143">
        <f t="shared" si="66"/>
        <v>0</v>
      </c>
      <c r="J186" s="225"/>
      <c r="K186" s="260"/>
      <c r="L186" s="260"/>
      <c r="M186" s="261"/>
    </row>
    <row r="187" spans="1:13" ht="15" thickBot="1" x14ac:dyDescent="0.35">
      <c r="A187" s="67">
        <v>900</v>
      </c>
      <c r="B187" s="71" t="s">
        <v>125</v>
      </c>
      <c r="C187" s="143">
        <v>1000</v>
      </c>
      <c r="D187" s="143"/>
      <c r="E187" s="143"/>
      <c r="F187" s="143"/>
      <c r="G187" s="143"/>
      <c r="H187" s="143"/>
      <c r="I187" s="143">
        <f t="shared" si="66"/>
        <v>1000</v>
      </c>
      <c r="J187" s="225"/>
    </row>
    <row r="188" spans="1:13" ht="15" thickBot="1" x14ac:dyDescent="0.35">
      <c r="A188" s="103"/>
      <c r="B188" s="528" t="s">
        <v>451</v>
      </c>
      <c r="C188" s="483">
        <f>SUM(C179:C187)</f>
        <v>22699.292800000003</v>
      </c>
      <c r="D188" s="483">
        <f t="shared" ref="D188:I188" si="67">SUM(D179:D187)</f>
        <v>0</v>
      </c>
      <c r="E188" s="483">
        <f t="shared" si="67"/>
        <v>0</v>
      </c>
      <c r="F188" s="483">
        <f t="shared" si="67"/>
        <v>507357</v>
      </c>
      <c r="G188" s="483">
        <f t="shared" si="67"/>
        <v>0</v>
      </c>
      <c r="H188" s="483">
        <f t="shared" si="67"/>
        <v>0</v>
      </c>
      <c r="I188" s="483">
        <f t="shared" si="67"/>
        <v>530056.29279999994</v>
      </c>
      <c r="J188" s="225"/>
    </row>
    <row r="189" spans="1:13" ht="15" thickBot="1" x14ac:dyDescent="0.35">
      <c r="A189" s="107"/>
      <c r="B189" s="108" t="s">
        <v>127</v>
      </c>
      <c r="C189" s="150" t="str">
        <f t="shared" ref="C189:I189" si="68">C1</f>
        <v>Operating</v>
      </c>
      <c r="D189" s="150" t="str">
        <f t="shared" si="68"/>
        <v>Weights</v>
      </c>
      <c r="E189" s="150" t="str">
        <f t="shared" si="68"/>
        <v>SPED</v>
      </c>
      <c r="F189" s="150" t="str">
        <f t="shared" si="68"/>
        <v>NSLP</v>
      </c>
      <c r="G189" s="150" t="str">
        <f t="shared" si="68"/>
        <v>Title 1</v>
      </c>
      <c r="H189" s="150" t="str">
        <f t="shared" si="68"/>
        <v>Title 2</v>
      </c>
      <c r="I189" s="150" t="str">
        <f t="shared" si="68"/>
        <v>Total</v>
      </c>
      <c r="J189" s="230"/>
    </row>
    <row r="190" spans="1:13" x14ac:dyDescent="0.3">
      <c r="A190" s="78">
        <v>622</v>
      </c>
      <c r="B190" s="71" t="s">
        <v>325</v>
      </c>
      <c r="C190" s="157">
        <f>'25-26'!C190*1.066</f>
        <v>52966.875</v>
      </c>
      <c r="D190" s="143"/>
      <c r="E190" s="143"/>
      <c r="F190" s="143"/>
      <c r="G190" s="143"/>
      <c r="H190" s="143"/>
      <c r="I190" s="143">
        <f t="shared" ref="I190:I200" si="69">SUM(C190:H190)</f>
        <v>52966.875</v>
      </c>
      <c r="J190" s="225"/>
    </row>
    <row r="191" spans="1:13" x14ac:dyDescent="0.3">
      <c r="A191" s="67">
        <v>621</v>
      </c>
      <c r="B191" s="71" t="s">
        <v>129</v>
      </c>
      <c r="C191" s="157">
        <f>'25-26'!C191*1.066</f>
        <v>0</v>
      </c>
      <c r="D191" s="143"/>
      <c r="E191" s="143"/>
      <c r="F191" s="143"/>
      <c r="G191" s="143"/>
      <c r="H191" s="143"/>
      <c r="I191" s="143">
        <f t="shared" si="69"/>
        <v>0</v>
      </c>
      <c r="J191" s="225"/>
    </row>
    <row r="192" spans="1:13" x14ac:dyDescent="0.3">
      <c r="A192" s="67">
        <v>411</v>
      </c>
      <c r="B192" s="71" t="s">
        <v>130</v>
      </c>
      <c r="C192" s="157">
        <f>'25-26'!C192*1.066</f>
        <v>14971.970000000001</v>
      </c>
      <c r="D192" s="143"/>
      <c r="E192" s="143"/>
      <c r="F192" s="143"/>
      <c r="G192" s="143"/>
      <c r="H192" s="143"/>
      <c r="I192" s="143">
        <f t="shared" si="69"/>
        <v>14971.970000000001</v>
      </c>
      <c r="J192" s="225"/>
    </row>
    <row r="193" spans="1:15" x14ac:dyDescent="0.3">
      <c r="A193" s="67">
        <v>422</v>
      </c>
      <c r="B193" s="71" t="s">
        <v>131</v>
      </c>
      <c r="C193" s="157">
        <f>'25-26'!C193*1.066</f>
        <v>11228.977500000001</v>
      </c>
      <c r="D193" s="143"/>
      <c r="E193" s="143"/>
      <c r="F193" s="143"/>
      <c r="G193" s="143"/>
      <c r="H193" s="143"/>
      <c r="I193" s="143">
        <f t="shared" si="69"/>
        <v>11228.977500000001</v>
      </c>
      <c r="J193" s="225"/>
    </row>
    <row r="194" spans="1:15" x14ac:dyDescent="0.3">
      <c r="A194" s="67">
        <v>490</v>
      </c>
      <c r="B194" s="71" t="s">
        <v>132</v>
      </c>
      <c r="C194" s="145">
        <f>'25-26'!C194*1.03</f>
        <v>5627.5440500000004</v>
      </c>
      <c r="D194" s="143"/>
      <c r="E194" s="143"/>
      <c r="F194" s="143"/>
      <c r="G194" s="143"/>
      <c r="H194" s="143"/>
      <c r="I194" s="143">
        <f t="shared" si="69"/>
        <v>5627.5440500000004</v>
      </c>
      <c r="J194" s="225"/>
    </row>
    <row r="195" spans="1:15" x14ac:dyDescent="0.3">
      <c r="A195" s="67">
        <v>422</v>
      </c>
      <c r="B195" s="71" t="s">
        <v>133</v>
      </c>
      <c r="C195" s="142">
        <f>((45000)*0.15)*12</f>
        <v>81000</v>
      </c>
      <c r="D195" s="143"/>
      <c r="E195" s="143"/>
      <c r="F195" s="143"/>
      <c r="G195" s="143"/>
      <c r="H195" s="143"/>
      <c r="I195" s="143">
        <f t="shared" si="69"/>
        <v>81000</v>
      </c>
      <c r="J195" s="237"/>
    </row>
    <row r="196" spans="1:15" x14ac:dyDescent="0.3">
      <c r="A196" s="67">
        <v>610</v>
      </c>
      <c r="B196" s="71" t="s">
        <v>134</v>
      </c>
      <c r="C196" s="143">
        <f>32*C5</f>
        <v>18240</v>
      </c>
      <c r="D196" s="143"/>
      <c r="E196" s="143"/>
      <c r="F196" s="143"/>
      <c r="G196" s="143"/>
      <c r="H196" s="143"/>
      <c r="I196" s="143">
        <f t="shared" si="69"/>
        <v>18240</v>
      </c>
      <c r="J196" s="237"/>
    </row>
    <row r="197" spans="1:15" x14ac:dyDescent="0.3">
      <c r="A197" s="67" t="s">
        <v>135</v>
      </c>
      <c r="B197" s="71" t="s">
        <v>136</v>
      </c>
      <c r="C197" s="143">
        <v>15000</v>
      </c>
      <c r="D197" s="143"/>
      <c r="E197" s="143"/>
      <c r="F197" s="143">
        <v>0</v>
      </c>
      <c r="G197" s="143"/>
      <c r="H197" s="143"/>
      <c r="I197" s="143">
        <f t="shared" si="69"/>
        <v>15000</v>
      </c>
      <c r="J197" s="237"/>
    </row>
    <row r="198" spans="1:15" hidden="1" x14ac:dyDescent="0.3">
      <c r="A198" s="113"/>
      <c r="B198" s="71" t="s">
        <v>137</v>
      </c>
      <c r="C198" s="143">
        <v>0</v>
      </c>
      <c r="D198" s="143"/>
      <c r="E198" s="143"/>
      <c r="F198" s="143"/>
      <c r="G198" s="143"/>
      <c r="H198" s="143"/>
      <c r="I198" s="143">
        <f t="shared" si="69"/>
        <v>0</v>
      </c>
      <c r="J198" s="237"/>
    </row>
    <row r="199" spans="1:15" x14ac:dyDescent="0.3">
      <c r="A199" s="67">
        <v>420</v>
      </c>
      <c r="B199" s="71" t="s">
        <v>138</v>
      </c>
      <c r="C199" s="145">
        <f>'25-26'!C199*1.03</f>
        <v>6753.0528600000016</v>
      </c>
      <c r="D199" s="143"/>
      <c r="E199" s="143"/>
      <c r="F199" s="143"/>
      <c r="G199" s="143"/>
      <c r="H199" s="143"/>
      <c r="I199" s="143">
        <f t="shared" si="69"/>
        <v>6753.0528600000016</v>
      </c>
      <c r="J199" s="225"/>
    </row>
    <row r="200" spans="1:15" ht="15" thickBot="1" x14ac:dyDescent="0.35">
      <c r="A200" s="74">
        <v>431</v>
      </c>
      <c r="B200" s="71" t="s">
        <v>139</v>
      </c>
      <c r="C200" s="145">
        <f>'25-26'!C200*1.03</f>
        <v>8441.3160749999988</v>
      </c>
      <c r="D200" s="143"/>
      <c r="E200" s="143"/>
      <c r="F200" s="143"/>
      <c r="G200" s="143"/>
      <c r="H200" s="143"/>
      <c r="I200" s="143">
        <f t="shared" si="69"/>
        <v>8441.3160749999988</v>
      </c>
      <c r="J200" s="225"/>
    </row>
    <row r="201" spans="1:15" ht="15" thickBot="1" x14ac:dyDescent="0.35">
      <c r="A201" s="95"/>
      <c r="B201" s="528" t="s">
        <v>452</v>
      </c>
      <c r="C201" s="483">
        <f>SUM(C190:C200)</f>
        <v>214229.73548500001</v>
      </c>
      <c r="D201" s="483">
        <f t="shared" ref="D201:I201" si="70">SUM(D190:D200)</f>
        <v>0</v>
      </c>
      <c r="E201" s="483">
        <f t="shared" si="70"/>
        <v>0</v>
      </c>
      <c r="F201" s="483">
        <f t="shared" si="70"/>
        <v>0</v>
      </c>
      <c r="G201" s="483">
        <f t="shared" si="70"/>
        <v>0</v>
      </c>
      <c r="H201" s="483">
        <f t="shared" si="70"/>
        <v>0</v>
      </c>
      <c r="I201" s="483">
        <f t="shared" si="70"/>
        <v>214229.73548500001</v>
      </c>
      <c r="J201" s="225"/>
    </row>
    <row r="202" spans="1:15" ht="15" thickBot="1" x14ac:dyDescent="0.35">
      <c r="A202" s="114"/>
      <c r="B202" s="530"/>
      <c r="C202" s="154"/>
      <c r="D202" s="154"/>
      <c r="E202" s="154"/>
      <c r="F202" s="154"/>
      <c r="G202" s="154"/>
      <c r="H202" s="154"/>
      <c r="I202" s="154"/>
      <c r="J202" s="225"/>
    </row>
    <row r="203" spans="1:15" ht="15" thickBot="1" x14ac:dyDescent="0.35">
      <c r="A203" s="116"/>
      <c r="B203" s="528" t="s">
        <v>453</v>
      </c>
      <c r="C203" s="531">
        <f>C136+C148+C163+C172+C177+C188+C201</f>
        <v>3394562.1091190558</v>
      </c>
      <c r="D203" s="531">
        <f t="shared" ref="D203:I203" si="71">D136+D148+D163+D172+D177+D188+D201</f>
        <v>292551.45162950002</v>
      </c>
      <c r="E203" s="531">
        <f t="shared" si="71"/>
        <v>453397.35</v>
      </c>
      <c r="F203" s="531">
        <f t="shared" si="71"/>
        <v>546375.5</v>
      </c>
      <c r="G203" s="531">
        <f t="shared" si="71"/>
        <v>207194.16237499999</v>
      </c>
      <c r="H203" s="531">
        <f t="shared" si="71"/>
        <v>49038.75</v>
      </c>
      <c r="I203" s="531">
        <f t="shared" si="71"/>
        <v>4943119.3231235556</v>
      </c>
      <c r="J203" s="225"/>
      <c r="M203" s="221"/>
    </row>
    <row r="204" spans="1:15" x14ac:dyDescent="0.3">
      <c r="A204" s="78"/>
      <c r="B204" s="118"/>
      <c r="C204" s="157"/>
      <c r="D204" s="157"/>
      <c r="E204" s="157"/>
      <c r="F204" s="157"/>
      <c r="G204" s="157"/>
      <c r="H204" s="157"/>
      <c r="I204" s="157"/>
      <c r="J204" s="225"/>
    </row>
    <row r="205" spans="1:15" x14ac:dyDescent="0.3">
      <c r="A205" s="67"/>
      <c r="B205" s="533" t="s">
        <v>464</v>
      </c>
      <c r="C205" s="143">
        <v>0</v>
      </c>
      <c r="D205" s="143"/>
      <c r="E205" s="143"/>
      <c r="F205" s="143"/>
      <c r="G205" s="143"/>
      <c r="H205" s="143"/>
      <c r="I205" s="143"/>
      <c r="J205" s="225"/>
    </row>
    <row r="206" spans="1:15" x14ac:dyDescent="0.3">
      <c r="A206" s="67"/>
      <c r="B206" s="533" t="s">
        <v>142</v>
      </c>
      <c r="C206" s="143">
        <f>C19*(900*1.06)</f>
        <v>543780</v>
      </c>
      <c r="D206" s="143"/>
      <c r="E206" s="143"/>
      <c r="F206" s="143"/>
      <c r="G206" s="143"/>
      <c r="H206" s="143"/>
      <c r="I206" s="143">
        <f>SUM(C206:H206)</f>
        <v>543780</v>
      </c>
      <c r="K206" s="268"/>
      <c r="L206" s="238"/>
      <c r="M206" s="238"/>
      <c r="N206" s="238"/>
      <c r="O206" s="238"/>
    </row>
    <row r="207" spans="1:15" x14ac:dyDescent="0.3">
      <c r="A207" s="67"/>
      <c r="B207" s="533" t="s">
        <v>143</v>
      </c>
      <c r="C207" s="143">
        <v>0</v>
      </c>
      <c r="D207" s="143"/>
      <c r="E207" s="143"/>
      <c r="F207" s="143"/>
      <c r="G207" s="143"/>
      <c r="H207" s="143"/>
      <c r="I207" s="143">
        <f>SUM(C207:H207)</f>
        <v>0</v>
      </c>
      <c r="J207" s="225"/>
      <c r="K207" s="429"/>
    </row>
    <row r="208" spans="1:15" x14ac:dyDescent="0.3">
      <c r="A208" s="67"/>
      <c r="B208" s="533" t="s">
        <v>383</v>
      </c>
      <c r="C208" s="143">
        <v>0</v>
      </c>
      <c r="D208" s="143"/>
      <c r="E208" s="143"/>
      <c r="F208" s="143"/>
      <c r="G208" s="143"/>
      <c r="H208" s="143"/>
      <c r="I208" s="143">
        <f>SUM(C208:H208)</f>
        <v>0</v>
      </c>
      <c r="J208" s="430"/>
    </row>
    <row r="209" spans="1:10" x14ac:dyDescent="0.3">
      <c r="A209" s="67"/>
      <c r="B209" s="139"/>
      <c r="C209" s="143">
        <v>0</v>
      </c>
      <c r="D209" s="143">
        <v>0</v>
      </c>
      <c r="E209" s="143">
        <v>0</v>
      </c>
      <c r="F209" s="143">
        <v>0</v>
      </c>
      <c r="G209" s="143">
        <v>0</v>
      </c>
      <c r="H209" s="143"/>
      <c r="I209" s="143">
        <f>SUM(C209:H209)</f>
        <v>0</v>
      </c>
      <c r="J209" s="225"/>
    </row>
    <row r="210" spans="1:10" ht="15" thickBot="1" x14ac:dyDescent="0.35">
      <c r="A210" s="74"/>
      <c r="B210" s="62"/>
      <c r="C210" s="153"/>
      <c r="D210" s="153"/>
      <c r="E210" s="153"/>
      <c r="F210" s="153"/>
      <c r="G210" s="153"/>
      <c r="H210" s="153"/>
      <c r="I210" s="153"/>
      <c r="J210" s="225"/>
    </row>
    <row r="211" spans="1:10" ht="15" thickBot="1" x14ac:dyDescent="0.35">
      <c r="A211" s="116"/>
      <c r="B211" s="536" t="s">
        <v>145</v>
      </c>
      <c r="C211" s="537">
        <f>C85-C203-C205-C206-C208-C207</f>
        <v>439192.30969416443</v>
      </c>
      <c r="D211" s="538">
        <f t="shared" ref="D211:I211" si="72">D85-D203-D205-D206-D208-D207</f>
        <v>-30155.983269500022</v>
      </c>
      <c r="E211" s="538">
        <f t="shared" si="72"/>
        <v>-213313.34999999998</v>
      </c>
      <c r="F211" s="538">
        <f t="shared" si="72"/>
        <v>-75195.260000000009</v>
      </c>
      <c r="G211" s="538">
        <f t="shared" si="72"/>
        <v>-30722.162374999985</v>
      </c>
      <c r="H211" s="538">
        <f t="shared" si="72"/>
        <v>-3138.75</v>
      </c>
      <c r="I211" s="538">
        <f t="shared" si="72"/>
        <v>86666.804049665108</v>
      </c>
      <c r="J211" s="225"/>
    </row>
    <row r="212" spans="1:10" ht="15" thickBot="1" x14ac:dyDescent="0.35">
      <c r="A212" s="78"/>
      <c r="B212" s="123"/>
      <c r="C212" s="165">
        <f>C211/(C85-C74)</f>
        <v>0.10032869366067315</v>
      </c>
      <c r="D212" s="165">
        <f>D211/(D85-D74)</f>
        <v>-0.11492570149163846</v>
      </c>
      <c r="E212" s="165">
        <f>E211/(E85-E74)</f>
        <v>-0.88849465187184473</v>
      </c>
      <c r="F212" s="165" t="e">
        <f>F211/(F85-F74)</f>
        <v>#DIV/0!</v>
      </c>
      <c r="G212" s="165">
        <f>G211/(G85-G74)</f>
        <v>-0.17409086073144739</v>
      </c>
      <c r="H212" s="165"/>
      <c r="I212" s="165">
        <f>I211/(I85-I74)</f>
        <v>1.6985544795334855E-2</v>
      </c>
      <c r="J212" s="225"/>
    </row>
    <row r="213" spans="1:10" x14ac:dyDescent="0.3">
      <c r="B213" s="3" t="str">
        <f t="shared" ref="B213:G213" si="73">B1</f>
        <v>Young Women's Leadership Academy - FY24</v>
      </c>
      <c r="C213" s="3" t="str">
        <f t="shared" si="73"/>
        <v>Operating</v>
      </c>
      <c r="D213" s="3" t="str">
        <f t="shared" si="73"/>
        <v>Weights</v>
      </c>
      <c r="E213" s="3" t="str">
        <f t="shared" si="73"/>
        <v>SPED</v>
      </c>
      <c r="F213" s="3" t="str">
        <f t="shared" si="73"/>
        <v>NSLP</v>
      </c>
      <c r="G213" s="3" t="str">
        <f t="shared" si="73"/>
        <v>Title 1</v>
      </c>
      <c r="H213" s="3"/>
      <c r="I213" s="3" t="str">
        <f>I1</f>
        <v>Total</v>
      </c>
      <c r="J213" s="230"/>
    </row>
    <row r="214" spans="1:10" hidden="1" x14ac:dyDescent="0.3"/>
    <row r="215" spans="1:10" hidden="1" x14ac:dyDescent="0.3"/>
    <row r="216" spans="1:10" hidden="1" x14ac:dyDescent="0.3">
      <c r="A216" s="113"/>
      <c r="B216" s="126" t="s">
        <v>146</v>
      </c>
      <c r="C216" s="7"/>
      <c r="D216" s="7"/>
      <c r="E216" s="7"/>
      <c r="F216" s="7"/>
      <c r="G216" s="7"/>
      <c r="H216" s="7"/>
      <c r="I216" s="7"/>
    </row>
    <row r="217" spans="1:10" hidden="1" x14ac:dyDescent="0.3">
      <c r="A217" s="113"/>
      <c r="B217" s="126" t="s">
        <v>147</v>
      </c>
      <c r="C217" s="7"/>
      <c r="D217" s="7"/>
      <c r="E217" s="7"/>
      <c r="F217" s="7"/>
      <c r="G217" s="7"/>
      <c r="H217" s="7"/>
      <c r="I217" s="7"/>
    </row>
    <row r="218" spans="1:10" hidden="1" x14ac:dyDescent="0.3"/>
    <row r="219" spans="1:10" ht="15" thickBot="1" x14ac:dyDescent="0.35"/>
    <row r="220" spans="1:10" ht="15" thickBot="1" x14ac:dyDescent="0.35">
      <c r="A220" s="116"/>
      <c r="B220" s="122" t="s">
        <v>49</v>
      </c>
      <c r="C220" s="269">
        <f>C74-((C125*1.4725)+C179)</f>
        <v>0</v>
      </c>
      <c r="D220" s="269">
        <f>D74-((D125*1.4725)+D179)</f>
        <v>0</v>
      </c>
      <c r="E220" s="269">
        <f>E74-((E125*1.4775)+E179)</f>
        <v>0</v>
      </c>
      <c r="F220" s="269">
        <f>F74-((F125*1.4825)+F179)</f>
        <v>-69088.260000000009</v>
      </c>
      <c r="G220" s="269">
        <f>G74-((G125*1.4875)+G179)</f>
        <v>0</v>
      </c>
      <c r="H220" s="269"/>
      <c r="I220" s="269">
        <f>I74-((I125*1.4925)+I179)</f>
        <v>-69310.260000000009</v>
      </c>
    </row>
    <row r="221" spans="1:10" ht="15" thickBot="1" x14ac:dyDescent="0.35">
      <c r="A221" s="116"/>
      <c r="B221" s="122" t="s">
        <v>16</v>
      </c>
      <c r="C221" s="269">
        <f>(C75+C76)-(((C109+C118+C119+C120+C121+C122)*1.4725)+C146+C151)</f>
        <v>0</v>
      </c>
      <c r="D221" s="269">
        <f>(D75+D76)-(((D109+D118+D119+D120+D121+D122)*1.4725)+D146+D151)</f>
        <v>0</v>
      </c>
      <c r="E221" s="269">
        <f>(E75+E76)-(((E109+E118+E119+E120+E121+E122)*1.4775)+E146+E151)</f>
        <v>-164844.59999999998</v>
      </c>
      <c r="F221" s="269">
        <f>(F75+F76)-(((F109+F118+F119+F120+F121+F122)*1.4825)+F146+F151)</f>
        <v>0</v>
      </c>
      <c r="G221" s="269">
        <f>(G75+G76)-(((G109+G118+G119+G120+G121+G122)*1.4875)+G146+G151)</f>
        <v>0</v>
      </c>
      <c r="H221" s="269"/>
      <c r="I221" s="269">
        <f>(I75+I76)-(((I109+I118+I119+I120+I121+I122)*1.4925)+I146+I151)</f>
        <v>-167274.59999999998</v>
      </c>
    </row>
    <row r="225" spans="2:9" x14ac:dyDescent="0.3">
      <c r="B225" s="246" t="s">
        <v>195</v>
      </c>
      <c r="C225" s="247"/>
      <c r="D225" s="247"/>
      <c r="E225" s="247"/>
      <c r="F225" s="247"/>
      <c r="G225" s="247"/>
      <c r="H225" s="247"/>
      <c r="I225" s="247">
        <f>I85-I203</f>
        <v>630446.80404966511</v>
      </c>
    </row>
    <row r="226" spans="2:9" x14ac:dyDescent="0.3">
      <c r="C226" s="248"/>
      <c r="D226" s="248"/>
      <c r="E226" s="248"/>
      <c r="F226" s="248"/>
      <c r="G226" s="248"/>
      <c r="H226" s="248"/>
      <c r="I226" s="248"/>
    </row>
    <row r="227" spans="2:9" x14ac:dyDescent="0.3">
      <c r="B227" s="62" t="str">
        <f>B206</f>
        <v>Scheduled Lease Payment</v>
      </c>
      <c r="C227" s="249"/>
      <c r="D227" s="249"/>
      <c r="E227" s="249"/>
      <c r="F227" s="249"/>
      <c r="G227" s="249"/>
      <c r="H227" s="249"/>
      <c r="I227" s="249">
        <f t="shared" ref="I227:I229" si="74">I206</f>
        <v>543780</v>
      </c>
    </row>
    <row r="228" spans="2:9" x14ac:dyDescent="0.3">
      <c r="B228" s="62" t="str">
        <f t="shared" ref="B228:B229" si="75">B207</f>
        <v>Scheduled Bond Payment</v>
      </c>
      <c r="C228" s="249"/>
      <c r="D228" s="249"/>
      <c r="E228" s="249"/>
      <c r="F228" s="249"/>
      <c r="G228" s="249"/>
      <c r="H228" s="249"/>
      <c r="I228" s="249">
        <f t="shared" si="74"/>
        <v>0</v>
      </c>
    </row>
    <row r="229" spans="2:9" x14ac:dyDescent="0.3">
      <c r="B229" s="62" t="str">
        <f t="shared" si="75"/>
        <v>Improvements / Loan</v>
      </c>
      <c r="C229" s="249"/>
      <c r="D229" s="249"/>
      <c r="E229" s="249"/>
      <c r="F229" s="249"/>
      <c r="G229" s="249"/>
      <c r="H229" s="249"/>
      <c r="I229" s="249">
        <f t="shared" si="74"/>
        <v>0</v>
      </c>
    </row>
    <row r="230" spans="2:9" x14ac:dyDescent="0.3">
      <c r="B230" s="251" t="s">
        <v>196</v>
      </c>
      <c r="C230" s="252"/>
      <c r="D230" s="252"/>
      <c r="E230" s="252"/>
      <c r="F230" s="252"/>
      <c r="G230" s="252"/>
      <c r="H230" s="252"/>
      <c r="I230" s="252">
        <f t="shared" ref="I230" si="76">SUM(I227:I229)</f>
        <v>543780</v>
      </c>
    </row>
    <row r="231" spans="2:9" x14ac:dyDescent="0.3">
      <c r="C231" s="248"/>
      <c r="D231" s="248"/>
      <c r="E231" s="248"/>
      <c r="F231" s="248"/>
      <c r="G231" s="248"/>
      <c r="H231" s="248"/>
      <c r="I231" s="248"/>
    </row>
    <row r="232" spans="2:9" x14ac:dyDescent="0.3">
      <c r="B232" s="246" t="s">
        <v>197</v>
      </c>
      <c r="C232" s="253"/>
      <c r="D232" s="253"/>
      <c r="E232" s="253"/>
      <c r="F232" s="253"/>
      <c r="G232" s="253"/>
      <c r="H232" s="253"/>
      <c r="I232" s="253">
        <f t="shared" ref="I232" si="77">I225/I230</f>
        <v>1.1593784325456344</v>
      </c>
    </row>
    <row r="233" spans="2:9" x14ac:dyDescent="0.3">
      <c r="C233" s="248"/>
      <c r="D233" s="248"/>
      <c r="E233" s="248"/>
      <c r="F233" s="248"/>
      <c r="G233" s="248"/>
      <c r="H233" s="248"/>
      <c r="I233" s="248"/>
    </row>
    <row r="234" spans="2:9" x14ac:dyDescent="0.3">
      <c r="B234" s="254" t="s">
        <v>198</v>
      </c>
      <c r="C234" s="254"/>
      <c r="D234" s="254"/>
      <c r="E234" s="254"/>
      <c r="F234" s="254"/>
      <c r="G234" s="254"/>
      <c r="H234" s="254"/>
      <c r="I234" s="254"/>
    </row>
    <row r="235" spans="2:9" x14ac:dyDescent="0.3">
      <c r="B235" s="62" t="s">
        <v>199</v>
      </c>
      <c r="C235" s="255"/>
      <c r="D235" s="255"/>
      <c r="E235" s="255"/>
      <c r="F235" s="255"/>
      <c r="G235" s="255"/>
      <c r="H235" s="255"/>
      <c r="I235" s="255">
        <f t="shared" ref="I235" si="78">G238</f>
        <v>0</v>
      </c>
    </row>
    <row r="236" spans="2:9" x14ac:dyDescent="0.3">
      <c r="B236" s="248" t="s">
        <v>200</v>
      </c>
      <c r="C236" s="256"/>
      <c r="D236" s="256"/>
      <c r="E236" s="256"/>
      <c r="F236" s="256"/>
      <c r="G236" s="256"/>
      <c r="H236" s="256"/>
      <c r="I236" s="256">
        <v>0</v>
      </c>
    </row>
    <row r="237" spans="2:9" x14ac:dyDescent="0.3">
      <c r="B237" s="248" t="s">
        <v>201</v>
      </c>
      <c r="C237" s="256"/>
      <c r="D237" s="256"/>
      <c r="E237" s="256"/>
      <c r="F237" s="256"/>
      <c r="G237" s="256"/>
      <c r="H237" s="256"/>
      <c r="I237" s="256">
        <f t="shared" ref="I237" si="79">I211</f>
        <v>86666.804049665108</v>
      </c>
    </row>
    <row r="238" spans="2:9" x14ac:dyDescent="0.3">
      <c r="B238" s="257" t="s">
        <v>202</v>
      </c>
      <c r="C238" s="258"/>
      <c r="D238" s="258"/>
      <c r="E238" s="258"/>
      <c r="F238" s="258"/>
      <c r="G238" s="258"/>
      <c r="H238" s="258"/>
      <c r="I238" s="258">
        <f t="shared" ref="I238" si="80">I235+I236+I237</f>
        <v>86666.804049665108</v>
      </c>
    </row>
    <row r="239" spans="2:9" x14ac:dyDescent="0.3">
      <c r="B239" s="246" t="s">
        <v>203</v>
      </c>
      <c r="C239" s="253"/>
      <c r="D239" s="253"/>
      <c r="E239" s="253"/>
      <c r="F239" s="253"/>
      <c r="G239" s="253"/>
      <c r="H239" s="253"/>
      <c r="I239" s="253">
        <f t="shared" ref="I239" si="81">I238/((SUM(I203:I209))/365)</f>
        <v>5.7652567716733065</v>
      </c>
    </row>
    <row r="241" spans="2:11" x14ac:dyDescent="0.3">
      <c r="D241" s="261"/>
      <c r="E241" s="261"/>
      <c r="F241" s="261"/>
      <c r="G241" s="261"/>
      <c r="H241" s="261"/>
      <c r="I241" s="261"/>
    </row>
    <row r="242" spans="2:11" x14ac:dyDescent="0.3">
      <c r="B242" s="377" t="s">
        <v>308</v>
      </c>
      <c r="C242" s="261"/>
      <c r="D242" s="435"/>
      <c r="E242" s="435"/>
      <c r="F242" s="435"/>
      <c r="G242" s="435"/>
      <c r="H242" s="435"/>
      <c r="I242" s="261">
        <f>I128/SUM(I203:I208)</f>
        <v>0.38543218989957356</v>
      </c>
      <c r="J242" s="219"/>
      <c r="K242" s="223"/>
    </row>
    <row r="243" spans="2:11" x14ac:dyDescent="0.3">
      <c r="B243" s="377" t="s">
        <v>231</v>
      </c>
      <c r="C243" s="261"/>
      <c r="D243" s="435"/>
      <c r="E243" s="435"/>
      <c r="F243" s="435"/>
      <c r="G243" s="435"/>
      <c r="H243" s="435"/>
      <c r="I243" s="261">
        <f>SUM(I129:I132)/SUM(I203:I208)</f>
        <v>0.20185863210805338</v>
      </c>
      <c r="J243" s="219"/>
      <c r="K243" s="223"/>
    </row>
    <row r="244" spans="2:11" x14ac:dyDescent="0.3">
      <c r="B244" s="377" t="s">
        <v>93</v>
      </c>
      <c r="C244" s="261"/>
      <c r="D244" s="435"/>
      <c r="E244" s="435"/>
      <c r="F244" s="435"/>
      <c r="G244" s="435"/>
      <c r="H244" s="435"/>
      <c r="I244" s="261">
        <f t="shared" ref="I244" si="82">I154/SUM(I203:I208)</f>
        <v>2.1104815886083717E-3</v>
      </c>
      <c r="J244" s="219"/>
      <c r="K244" s="223"/>
    </row>
    <row r="245" spans="2:11" x14ac:dyDescent="0.3">
      <c r="B245" s="377" t="s">
        <v>309</v>
      </c>
      <c r="C245" s="261"/>
      <c r="D245" s="435"/>
      <c r="E245" s="435"/>
      <c r="F245" s="435"/>
      <c r="G245" s="435"/>
      <c r="H245" s="435"/>
      <c r="I245" s="261">
        <f t="shared" ref="I245" si="83">(I152+I153+I160+I162)/SUM(I203:I208)</f>
        <v>5.9102172829636902E-2</v>
      </c>
      <c r="J245" s="219"/>
      <c r="K245" s="223"/>
    </row>
    <row r="246" spans="2:11" x14ac:dyDescent="0.3">
      <c r="B246" s="377" t="s">
        <v>310</v>
      </c>
      <c r="C246" s="261"/>
      <c r="D246" s="435"/>
      <c r="E246" s="435"/>
      <c r="F246" s="435"/>
      <c r="G246" s="435"/>
      <c r="H246" s="435"/>
      <c r="I246" s="261">
        <f>(I151+I150+I134)/SUM(I203:I208)</f>
        <v>3.9403857674013207E-2</v>
      </c>
      <c r="J246" s="219"/>
      <c r="K246" s="223"/>
    </row>
    <row r="247" spans="2:11" x14ac:dyDescent="0.3">
      <c r="B247" s="377" t="s">
        <v>311</v>
      </c>
      <c r="C247" s="261"/>
      <c r="D247" s="435"/>
      <c r="E247" s="435"/>
      <c r="F247" s="435"/>
      <c r="G247" s="435"/>
      <c r="H247" s="435"/>
      <c r="I247" s="261">
        <f t="shared" ref="I247" si="84">(I170+I140)/SUM(I203:I208)</f>
        <v>1.7285719021723746E-2</v>
      </c>
      <c r="J247" s="219"/>
      <c r="K247" s="223"/>
    </row>
    <row r="248" spans="2:11" x14ac:dyDescent="0.3">
      <c r="B248" s="377" t="s">
        <v>79</v>
      </c>
      <c r="C248" s="261"/>
      <c r="D248" s="435"/>
      <c r="E248" s="435"/>
      <c r="F248" s="435"/>
      <c r="G248" s="435"/>
      <c r="H248" s="435"/>
      <c r="I248" s="261">
        <f>(I138+I142+I143+I144+I145+I146)/SUM(I203:I208)</f>
        <v>2.5134158999201767E-2</v>
      </c>
      <c r="J248" s="219"/>
      <c r="K248" s="223"/>
    </row>
    <row r="249" spans="2:11" x14ac:dyDescent="0.3">
      <c r="B249" s="377" t="s">
        <v>312</v>
      </c>
      <c r="C249" s="261"/>
      <c r="D249" s="435"/>
      <c r="E249" s="435"/>
      <c r="F249" s="435"/>
      <c r="G249" s="435"/>
      <c r="H249" s="435"/>
      <c r="I249" s="261">
        <f>(I177+I201+I206+I207+I208)/SUM(I203:I208)</f>
        <v>0.14495332220388368</v>
      </c>
      <c r="J249" s="219"/>
      <c r="K249" s="223"/>
    </row>
    <row r="250" spans="2:11" x14ac:dyDescent="0.3">
      <c r="B250" s="377" t="s">
        <v>49</v>
      </c>
      <c r="C250" s="261"/>
      <c r="D250" s="435"/>
      <c r="E250" s="435"/>
      <c r="F250" s="435"/>
      <c r="G250" s="435"/>
      <c r="H250" s="435"/>
      <c r="I250" s="261">
        <f t="shared" ref="I250" si="85">(I179)/SUM(I203:I208)</f>
        <v>9.2466978182346934E-2</v>
      </c>
      <c r="J250" s="261"/>
      <c r="K250" s="223"/>
    </row>
    <row r="251" spans="2:11" x14ac:dyDescent="0.3">
      <c r="B251" s="377" t="s">
        <v>171</v>
      </c>
      <c r="C251" s="261"/>
      <c r="D251" s="435"/>
      <c r="E251" s="435"/>
      <c r="F251" s="435"/>
      <c r="G251" s="435"/>
      <c r="H251" s="435"/>
      <c r="I251" s="261">
        <f t="shared" ref="I251" si="86">(I147)/SUM(I203:I208)</f>
        <v>0</v>
      </c>
      <c r="J251" s="219"/>
      <c r="K251" s="223"/>
    </row>
    <row r="252" spans="2:11" x14ac:dyDescent="0.3">
      <c r="B252" s="377" t="s">
        <v>313</v>
      </c>
      <c r="C252" s="261"/>
      <c r="D252" s="435"/>
      <c r="E252" s="435"/>
      <c r="F252" s="435"/>
      <c r="G252" s="435"/>
      <c r="H252" s="435"/>
      <c r="I252" s="261">
        <f t="shared" ref="I252" si="87">I181/SUM(I203:I208)</f>
        <v>9.1126148040085128E-4</v>
      </c>
      <c r="J252" s="219"/>
      <c r="K252" s="223"/>
    </row>
    <row r="253" spans="2:11" x14ac:dyDescent="0.3">
      <c r="B253" s="377" t="s">
        <v>314</v>
      </c>
      <c r="C253" s="261"/>
      <c r="D253" s="435"/>
      <c r="E253" s="435"/>
      <c r="F253" s="435"/>
      <c r="G253" s="435"/>
      <c r="H253" s="435"/>
      <c r="I253" s="261">
        <f t="shared" ref="I253" si="88">(I155+I156)/SUM(I203:I208)</f>
        <v>5.1308577653969931E-3</v>
      </c>
      <c r="J253" s="219"/>
      <c r="K253" s="223"/>
    </row>
    <row r="254" spans="2:11" x14ac:dyDescent="0.3">
      <c r="B254" s="377" t="s">
        <v>315</v>
      </c>
      <c r="C254" s="261"/>
      <c r="D254" s="435"/>
      <c r="E254" s="435"/>
      <c r="F254" s="435"/>
      <c r="G254" s="435"/>
      <c r="H254" s="435"/>
      <c r="I254" s="261">
        <f t="shared" ref="I254" si="89">(I157+I158+I165+I166+I167+I169+I171)/SUM(I203:I208)</f>
        <v>1.0115684429653996E-2</v>
      </c>
      <c r="J254" s="219"/>
      <c r="K254" s="223"/>
    </row>
    <row r="255" spans="2:11" x14ac:dyDescent="0.3">
      <c r="B255" s="377" t="s">
        <v>116</v>
      </c>
      <c r="C255" s="261"/>
      <c r="D255" s="435"/>
      <c r="E255" s="435"/>
      <c r="F255" s="435"/>
      <c r="G255" s="435"/>
      <c r="H255" s="435"/>
      <c r="I255" s="261">
        <f>(I159+I168+I180+I182+I183+I185+I187+I133+I186)/SUM(I203:I208)</f>
        <v>1.6094683817506717E-2</v>
      </c>
      <c r="J255" s="261"/>
      <c r="K255" s="223"/>
    </row>
    <row r="256" spans="2:11" x14ac:dyDescent="0.3">
      <c r="B256"/>
      <c r="C256"/>
      <c r="D256"/>
      <c r="E256"/>
      <c r="F256"/>
      <c r="G256"/>
      <c r="H256"/>
      <c r="I256"/>
      <c r="J256" s="219"/>
    </row>
    <row r="257" spans="2:11" x14ac:dyDescent="0.3">
      <c r="B257"/>
      <c r="C257" s="378"/>
      <c r="D257" s="378"/>
      <c r="E257" s="378"/>
      <c r="F257" s="378"/>
      <c r="G257" s="378"/>
      <c r="H257" s="378"/>
      <c r="I257" s="378">
        <f>SUM(I242:I256)</f>
        <v>1.0000000000000002</v>
      </c>
      <c r="J257" s="219"/>
      <c r="K257" s="378"/>
    </row>
    <row r="259" spans="2:11" x14ac:dyDescent="0.3">
      <c r="D259" s="379"/>
      <c r="E259" s="379"/>
      <c r="F259" s="379"/>
      <c r="G259" s="379"/>
      <c r="H259" s="379"/>
      <c r="I259" s="379"/>
    </row>
  </sheetData>
  <pageMargins left="0.7" right="0.7" top="0.75" bottom="0.75" header="0.3" footer="0.3"/>
  <pageSetup scale="51" orientation="portrait" r:id="rId1"/>
  <rowBreaks count="2" manualBreakCount="2">
    <brk id="70" max="8" man="1"/>
    <brk id="148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259"/>
  <sheetViews>
    <sheetView topLeftCell="A182" zoomScale="75" zoomScaleNormal="75" workbookViewId="0">
      <selection activeCell="B205" sqref="B205"/>
    </sheetView>
  </sheetViews>
  <sheetFormatPr defaultColWidth="8.77734375" defaultRowHeight="14.4" x14ac:dyDescent="0.3"/>
  <cols>
    <col min="1" max="1" width="8.77734375" style="5"/>
    <col min="2" max="2" width="56.5546875" style="219" customWidth="1"/>
    <col min="3" max="9" width="15.77734375" style="125" customWidth="1"/>
    <col min="10" max="10" width="15.109375" style="240" customWidth="1"/>
    <col min="11" max="11" width="12.21875" style="219" bestFit="1" customWidth="1"/>
    <col min="12" max="12" width="14.44140625" style="219" customWidth="1"/>
    <col min="13" max="13" width="13.33203125" style="219" bestFit="1" customWidth="1"/>
    <col min="14" max="15" width="11.109375" style="219" bestFit="1" customWidth="1"/>
    <col min="16" max="16384" width="8.77734375" style="219"/>
  </cols>
  <sheetData>
    <row r="1" spans="1:16" s="2" customFormat="1" ht="15" thickBot="1" x14ac:dyDescent="0.35">
      <c r="A1" s="1"/>
      <c r="B1" s="3" t="s">
        <v>389</v>
      </c>
      <c r="C1" s="3" t="s">
        <v>386</v>
      </c>
      <c r="D1" s="3" t="s">
        <v>376</v>
      </c>
      <c r="E1" s="3" t="s">
        <v>16</v>
      </c>
      <c r="F1" s="3" t="s">
        <v>49</v>
      </c>
      <c r="G1" s="3" t="s">
        <v>393</v>
      </c>
      <c r="H1" s="3" t="s">
        <v>394</v>
      </c>
      <c r="I1" s="3" t="s">
        <v>158</v>
      </c>
      <c r="J1" s="224"/>
      <c r="K1" s="3">
        <v>7197</v>
      </c>
      <c r="L1" s="241" t="s">
        <v>148</v>
      </c>
    </row>
    <row r="2" spans="1:16" x14ac:dyDescent="0.3">
      <c r="B2" s="6" t="s">
        <v>329</v>
      </c>
      <c r="C2" s="140">
        <f>'26-27'!I2*1.013</f>
        <v>7779.7234495750736</v>
      </c>
      <c r="D2" s="140"/>
      <c r="E2" s="140"/>
      <c r="F2" s="140"/>
      <c r="G2" s="140"/>
      <c r="H2" s="140"/>
      <c r="I2" s="140">
        <f>SUM(C2:H2)</f>
        <v>7779.7234495750736</v>
      </c>
      <c r="J2" s="168"/>
      <c r="K2" s="169">
        <f>(I2-K1)/K1</f>
        <v>8.0967548919698984E-2</v>
      </c>
      <c r="L2" s="169"/>
      <c r="M2" s="169"/>
      <c r="N2" s="169"/>
    </row>
    <row r="3" spans="1:16" hidden="1" x14ac:dyDescent="0.3">
      <c r="B3" s="9"/>
      <c r="C3" s="157"/>
      <c r="D3" s="157"/>
      <c r="E3" s="157"/>
      <c r="F3" s="157"/>
      <c r="G3" s="157"/>
      <c r="H3" s="157"/>
      <c r="I3" s="157"/>
      <c r="J3" s="168"/>
      <c r="K3" s="169"/>
      <c r="L3" s="169"/>
      <c r="M3" s="169"/>
      <c r="N3" s="169"/>
    </row>
    <row r="4" spans="1:16" hidden="1" x14ac:dyDescent="0.3">
      <c r="B4" s="9"/>
      <c r="C4" s="157"/>
      <c r="D4" s="157"/>
      <c r="E4" s="157"/>
      <c r="F4" s="157"/>
      <c r="G4" s="157"/>
      <c r="H4" s="157"/>
      <c r="I4" s="157"/>
      <c r="J4" s="168"/>
      <c r="K4" s="169"/>
      <c r="L4" s="169"/>
      <c r="M4" s="169"/>
      <c r="N4" s="169"/>
    </row>
    <row r="5" spans="1:16" x14ac:dyDescent="0.3">
      <c r="B5" s="9" t="s">
        <v>1</v>
      </c>
      <c r="C5" s="141">
        <f t="shared" ref="C5" si="0">C6+C7+C8+C9+C10+C11+C12+C13+C14+C15+C16+C17+C18</f>
        <v>600</v>
      </c>
      <c r="D5" s="141"/>
      <c r="E5" s="141"/>
      <c r="F5" s="141"/>
      <c r="G5" s="141"/>
      <c r="H5" s="141"/>
      <c r="I5" s="141">
        <f>SUM(C5:H5)</f>
        <v>600</v>
      </c>
      <c r="J5" s="225"/>
    </row>
    <row r="6" spans="1:16" x14ac:dyDescent="0.3">
      <c r="B6" s="12" t="s">
        <v>2</v>
      </c>
      <c r="C6" s="142">
        <v>0</v>
      </c>
      <c r="D6" s="142"/>
      <c r="E6" s="142"/>
      <c r="F6" s="142"/>
      <c r="G6" s="142"/>
      <c r="H6" s="142"/>
      <c r="I6" s="142">
        <f>SUM(C6:H6)</f>
        <v>0</v>
      </c>
      <c r="J6" s="225"/>
      <c r="K6" s="166">
        <f t="shared" ref="K6:K11" si="1">I6/28</f>
        <v>0</v>
      </c>
      <c r="L6" s="166"/>
      <c r="M6" s="166"/>
      <c r="N6" s="166"/>
      <c r="P6" s="166"/>
    </row>
    <row r="7" spans="1:16" x14ac:dyDescent="0.3">
      <c r="B7" s="15" t="s">
        <v>3</v>
      </c>
      <c r="C7" s="142">
        <v>0</v>
      </c>
      <c r="D7" s="142"/>
      <c r="E7" s="142"/>
      <c r="F7" s="142"/>
      <c r="G7" s="142"/>
      <c r="H7" s="142"/>
      <c r="I7" s="142">
        <f t="shared" ref="I7:I18" si="2">SUM(C7:H7)</f>
        <v>0</v>
      </c>
      <c r="J7" s="225"/>
      <c r="K7" s="166">
        <f t="shared" si="1"/>
        <v>0</v>
      </c>
      <c r="L7" s="166"/>
      <c r="M7" s="166"/>
      <c r="N7" s="166"/>
      <c r="P7" s="166"/>
    </row>
    <row r="8" spans="1:16" x14ac:dyDescent="0.3">
      <c r="B8" s="15" t="s">
        <v>4</v>
      </c>
      <c r="C8" s="142">
        <v>0</v>
      </c>
      <c r="D8" s="142"/>
      <c r="E8" s="142"/>
      <c r="F8" s="142"/>
      <c r="G8" s="142"/>
      <c r="H8" s="142"/>
      <c r="I8" s="142">
        <f t="shared" si="2"/>
        <v>0</v>
      </c>
      <c r="J8" s="225"/>
      <c r="K8" s="166">
        <f t="shared" si="1"/>
        <v>0</v>
      </c>
      <c r="L8" s="166"/>
      <c r="M8" s="166"/>
      <c r="N8" s="166"/>
      <c r="P8" s="166"/>
    </row>
    <row r="9" spans="1:16" x14ac:dyDescent="0.3">
      <c r="B9" s="16" t="s">
        <v>5</v>
      </c>
      <c r="C9" s="142">
        <v>0</v>
      </c>
      <c r="D9" s="142"/>
      <c r="E9" s="142"/>
      <c r="F9" s="142"/>
      <c r="G9" s="142"/>
      <c r="H9" s="142"/>
      <c r="I9" s="142">
        <f t="shared" si="2"/>
        <v>0</v>
      </c>
      <c r="J9" s="225"/>
      <c r="K9" s="166">
        <f t="shared" si="1"/>
        <v>0</v>
      </c>
      <c r="L9" s="166"/>
      <c r="M9" s="166"/>
      <c r="N9" s="166"/>
      <c r="P9" s="166"/>
    </row>
    <row r="10" spans="1:16" x14ac:dyDescent="0.3">
      <c r="B10" s="16" t="s">
        <v>6</v>
      </c>
      <c r="C10" s="142">
        <v>0</v>
      </c>
      <c r="D10" s="142"/>
      <c r="E10" s="142"/>
      <c r="F10" s="142"/>
      <c r="G10" s="142"/>
      <c r="H10" s="142"/>
      <c r="I10" s="142">
        <f t="shared" si="2"/>
        <v>0</v>
      </c>
      <c r="J10" s="225"/>
      <c r="K10" s="166">
        <f t="shared" si="1"/>
        <v>0</v>
      </c>
      <c r="L10" s="166"/>
      <c r="M10" s="166"/>
      <c r="N10" s="166"/>
      <c r="P10" s="166"/>
    </row>
    <row r="11" spans="1:16" x14ac:dyDescent="0.3">
      <c r="B11" s="16" t="s">
        <v>7</v>
      </c>
      <c r="C11" s="142">
        <v>0</v>
      </c>
      <c r="D11" s="142"/>
      <c r="E11" s="142"/>
      <c r="F11" s="142"/>
      <c r="G11" s="142"/>
      <c r="H11" s="142"/>
      <c r="I11" s="142">
        <f t="shared" si="2"/>
        <v>0</v>
      </c>
      <c r="J11" s="225"/>
      <c r="K11" s="166">
        <f t="shared" si="1"/>
        <v>0</v>
      </c>
      <c r="L11" s="166"/>
      <c r="M11" s="166"/>
      <c r="N11" s="166"/>
      <c r="P11" s="166"/>
    </row>
    <row r="12" spans="1:16" x14ac:dyDescent="0.3">
      <c r="B12" s="16" t="s">
        <v>8</v>
      </c>
      <c r="C12" s="143">
        <f>30*3</f>
        <v>90</v>
      </c>
      <c r="D12" s="143"/>
      <c r="E12" s="143"/>
      <c r="F12" s="143"/>
      <c r="G12" s="143"/>
      <c r="H12" s="143"/>
      <c r="I12" s="142">
        <f t="shared" si="2"/>
        <v>90</v>
      </c>
      <c r="J12" s="225"/>
      <c r="K12" s="166">
        <f>I12/30</f>
        <v>3</v>
      </c>
      <c r="L12" s="166"/>
      <c r="M12" s="166"/>
      <c r="N12" s="166"/>
      <c r="P12" s="166"/>
    </row>
    <row r="13" spans="1:16" x14ac:dyDescent="0.3">
      <c r="B13" s="16" t="s">
        <v>9</v>
      </c>
      <c r="C13" s="143">
        <f t="shared" ref="C13:C14" si="3">30*3</f>
        <v>90</v>
      </c>
      <c r="D13" s="143"/>
      <c r="E13" s="143"/>
      <c r="F13" s="143"/>
      <c r="G13" s="143"/>
      <c r="H13" s="143"/>
      <c r="I13" s="142">
        <f t="shared" si="2"/>
        <v>90</v>
      </c>
      <c r="J13" s="225"/>
      <c r="K13" s="166">
        <f t="shared" ref="K13:K18" si="4">I13/30</f>
        <v>3</v>
      </c>
      <c r="L13" s="166"/>
      <c r="M13" s="166"/>
      <c r="N13" s="166"/>
      <c r="P13" s="166"/>
    </row>
    <row r="14" spans="1:16" x14ac:dyDescent="0.3">
      <c r="B14" s="16" t="s">
        <v>10</v>
      </c>
      <c r="C14" s="143">
        <f t="shared" si="3"/>
        <v>90</v>
      </c>
      <c r="D14" s="143"/>
      <c r="E14" s="143"/>
      <c r="F14" s="143"/>
      <c r="G14" s="143"/>
      <c r="H14" s="143"/>
      <c r="I14" s="142">
        <f t="shared" si="2"/>
        <v>90</v>
      </c>
      <c r="J14" s="225"/>
      <c r="K14" s="166">
        <f t="shared" si="4"/>
        <v>3</v>
      </c>
      <c r="L14" s="166"/>
      <c r="M14" s="166"/>
      <c r="N14" s="166"/>
      <c r="P14" s="166"/>
    </row>
    <row r="15" spans="1:16" x14ac:dyDescent="0.3">
      <c r="B15" s="16" t="s">
        <v>11</v>
      </c>
      <c r="C15" s="143">
        <f>30*3</f>
        <v>90</v>
      </c>
      <c r="D15" s="143"/>
      <c r="E15" s="143"/>
      <c r="F15" s="143"/>
      <c r="G15" s="143"/>
      <c r="H15" s="143"/>
      <c r="I15" s="142">
        <f t="shared" si="2"/>
        <v>90</v>
      </c>
      <c r="J15" s="225"/>
      <c r="K15" s="166">
        <f t="shared" si="4"/>
        <v>3</v>
      </c>
      <c r="L15" s="166"/>
      <c r="M15" s="166"/>
      <c r="N15" s="166"/>
    </row>
    <row r="16" spans="1:16" x14ac:dyDescent="0.3">
      <c r="B16" s="16" t="s">
        <v>12</v>
      </c>
      <c r="C16" s="143">
        <f>30*3</f>
        <v>90</v>
      </c>
      <c r="D16" s="143"/>
      <c r="E16" s="143"/>
      <c r="F16" s="143"/>
      <c r="G16" s="143"/>
      <c r="H16" s="143"/>
      <c r="I16" s="142">
        <f t="shared" si="2"/>
        <v>90</v>
      </c>
      <c r="J16" s="225"/>
      <c r="K16" s="166">
        <f t="shared" si="4"/>
        <v>3</v>
      </c>
      <c r="L16" s="166"/>
      <c r="M16" s="166"/>
      <c r="N16" s="166"/>
    </row>
    <row r="17" spans="1:14" x14ac:dyDescent="0.3">
      <c r="B17" s="16" t="s">
        <v>13</v>
      </c>
      <c r="C17" s="143">
        <f>30*3</f>
        <v>90</v>
      </c>
      <c r="D17" s="143"/>
      <c r="E17" s="143"/>
      <c r="F17" s="143"/>
      <c r="G17" s="143"/>
      <c r="H17" s="143"/>
      <c r="I17" s="142">
        <f t="shared" si="2"/>
        <v>90</v>
      </c>
      <c r="J17" s="225"/>
      <c r="K17" s="166">
        <f t="shared" si="4"/>
        <v>3</v>
      </c>
      <c r="L17" s="166"/>
      <c r="M17" s="166"/>
      <c r="N17" s="166"/>
    </row>
    <row r="18" spans="1:14" x14ac:dyDescent="0.3">
      <c r="B18" s="16" t="s">
        <v>14</v>
      </c>
      <c r="C18" s="143">
        <f t="shared" ref="C18" si="5">30*2</f>
        <v>60</v>
      </c>
      <c r="D18" s="143"/>
      <c r="E18" s="143"/>
      <c r="F18" s="143"/>
      <c r="G18" s="143"/>
      <c r="H18" s="143"/>
      <c r="I18" s="142">
        <f t="shared" si="2"/>
        <v>60</v>
      </c>
      <c r="J18" s="225"/>
      <c r="K18" s="166">
        <f t="shared" si="4"/>
        <v>2</v>
      </c>
      <c r="L18" s="166"/>
      <c r="M18" s="166"/>
      <c r="N18" s="166"/>
    </row>
    <row r="19" spans="1:14" x14ac:dyDescent="0.3">
      <c r="B19" s="16" t="s">
        <v>1</v>
      </c>
      <c r="C19" s="141">
        <f t="shared" ref="C19" si="6">SUM(C6:C18)</f>
        <v>600</v>
      </c>
      <c r="D19" s="141">
        <f t="shared" ref="D19:H19" si="7">SUM(D6:D18)</f>
        <v>0</v>
      </c>
      <c r="E19" s="141">
        <f t="shared" si="7"/>
        <v>0</v>
      </c>
      <c r="F19" s="141">
        <f t="shared" si="7"/>
        <v>0</v>
      </c>
      <c r="G19" s="141">
        <f t="shared" si="7"/>
        <v>0</v>
      </c>
      <c r="H19" s="141">
        <f t="shared" si="7"/>
        <v>0</v>
      </c>
      <c r="I19" s="141">
        <f>SUM(I6:I18)</f>
        <v>600</v>
      </c>
      <c r="J19" s="225"/>
      <c r="K19" s="220">
        <f>SUM(K6:K18)</f>
        <v>20</v>
      </c>
      <c r="L19" s="220">
        <f>I19-'26-27'!C19</f>
        <v>30</v>
      </c>
      <c r="M19" s="220"/>
      <c r="N19" s="220"/>
    </row>
    <row r="20" spans="1:14" x14ac:dyDescent="0.3">
      <c r="B20" s="17"/>
      <c r="C20" s="366"/>
      <c r="D20" s="143"/>
      <c r="E20" s="366"/>
      <c r="F20" s="366"/>
      <c r="G20" s="366"/>
      <c r="H20" s="366"/>
      <c r="I20" s="366"/>
      <c r="J20" s="226"/>
      <c r="K20" s="219" t="b">
        <f>ROUND(K19,0)=ROUND(I29,0)</f>
        <v>1</v>
      </c>
    </row>
    <row r="21" spans="1:14" x14ac:dyDescent="0.3">
      <c r="B21" s="19" t="s">
        <v>15</v>
      </c>
      <c r="C21" s="144"/>
      <c r="D21" s="144"/>
      <c r="E21" s="144"/>
      <c r="F21" s="144"/>
      <c r="G21" s="144"/>
      <c r="H21" s="144"/>
      <c r="I21" s="144"/>
      <c r="J21" s="226"/>
    </row>
    <row r="22" spans="1:14" x14ac:dyDescent="0.3">
      <c r="B22" s="411" t="s">
        <v>336</v>
      </c>
      <c r="C22" s="143"/>
      <c r="D22" s="143"/>
      <c r="E22" s="143">
        <f>C19*0.12</f>
        <v>72</v>
      </c>
      <c r="F22" s="143"/>
      <c r="G22" s="143"/>
      <c r="H22" s="143"/>
      <c r="I22" s="143">
        <f>SUM(C22:H22)</f>
        <v>72</v>
      </c>
      <c r="J22" s="227"/>
      <c r="K22" s="221">
        <f>I22/21</f>
        <v>3.4285714285714284</v>
      </c>
      <c r="L22" s="221"/>
      <c r="M22" s="221"/>
      <c r="N22" s="221"/>
    </row>
    <row r="23" spans="1:14" x14ac:dyDescent="0.3">
      <c r="B23" s="411" t="s">
        <v>418</v>
      </c>
      <c r="C23" s="143"/>
      <c r="D23" s="143">
        <f>C19*0.21</f>
        <v>126</v>
      </c>
      <c r="E23" s="143"/>
      <c r="F23" s="143"/>
      <c r="G23" s="143"/>
      <c r="H23" s="143"/>
      <c r="I23" s="143">
        <f t="shared" ref="I23:I26" si="8">SUM(C23:H23)</f>
        <v>126</v>
      </c>
      <c r="J23" s="227"/>
      <c r="K23" s="244">
        <f>I30-K22</f>
        <v>7.1428571428571619E-2</v>
      </c>
    </row>
    <row r="24" spans="1:14" x14ac:dyDescent="0.3">
      <c r="B24" s="411" t="s">
        <v>337</v>
      </c>
      <c r="C24" s="143"/>
      <c r="D24" s="145">
        <v>0</v>
      </c>
      <c r="E24" s="145"/>
      <c r="F24" s="145"/>
      <c r="G24" s="145"/>
      <c r="H24" s="145"/>
      <c r="I24" s="143">
        <f t="shared" si="8"/>
        <v>0</v>
      </c>
      <c r="J24" s="226"/>
    </row>
    <row r="25" spans="1:14" x14ac:dyDescent="0.3">
      <c r="B25" s="411" t="s">
        <v>17</v>
      </c>
      <c r="C25" s="143"/>
      <c r="D25" s="412"/>
      <c r="E25" s="412"/>
      <c r="F25" s="412">
        <v>0.86</v>
      </c>
      <c r="G25" s="412"/>
      <c r="H25" s="412"/>
      <c r="I25" s="146">
        <f t="shared" si="8"/>
        <v>0.86</v>
      </c>
      <c r="J25" s="226"/>
    </row>
    <row r="26" spans="1:14" x14ac:dyDescent="0.3">
      <c r="B26" s="411" t="s">
        <v>338</v>
      </c>
      <c r="C26" s="143"/>
      <c r="D26" s="143">
        <f>(C19-E22-D23)*0.86</f>
        <v>345.71999999999997</v>
      </c>
      <c r="E26" s="143"/>
      <c r="F26" s="143"/>
      <c r="G26" s="143"/>
      <c r="H26" s="143"/>
      <c r="I26" s="143">
        <f t="shared" si="8"/>
        <v>345.71999999999997</v>
      </c>
      <c r="J26" s="442"/>
    </row>
    <row r="27" spans="1:14" x14ac:dyDescent="0.3">
      <c r="B27" s="24"/>
      <c r="C27" s="143"/>
      <c r="D27" s="143"/>
      <c r="E27" s="143"/>
      <c r="F27" s="143"/>
      <c r="G27" s="143"/>
      <c r="H27" s="143"/>
      <c r="I27" s="143"/>
      <c r="J27" s="60"/>
    </row>
    <row r="28" spans="1:14" x14ac:dyDescent="0.3">
      <c r="B28" s="19" t="s">
        <v>18</v>
      </c>
      <c r="C28" s="144"/>
      <c r="D28" s="144"/>
      <c r="E28" s="144"/>
      <c r="F28" s="144"/>
      <c r="G28" s="144"/>
      <c r="H28" s="144"/>
      <c r="I28" s="144"/>
      <c r="J28" s="60"/>
      <c r="K28" s="221"/>
    </row>
    <row r="29" spans="1:14" x14ac:dyDescent="0.3">
      <c r="B29" s="25" t="s">
        <v>19</v>
      </c>
      <c r="C29" s="147">
        <v>20</v>
      </c>
      <c r="D29" s="147"/>
      <c r="E29" s="147"/>
      <c r="F29" s="147"/>
      <c r="G29" s="147"/>
      <c r="H29" s="147"/>
      <c r="I29" s="147">
        <f>SUM(C29:H29)</f>
        <v>20</v>
      </c>
      <c r="J29" s="443">
        <f>I29/6</f>
        <v>3.3333333333333335</v>
      </c>
    </row>
    <row r="30" spans="1:14" s="222" customFormat="1" x14ac:dyDescent="0.3">
      <c r="A30" s="27"/>
      <c r="B30" s="25" t="s">
        <v>20</v>
      </c>
      <c r="C30" s="148">
        <v>0</v>
      </c>
      <c r="D30" s="148"/>
      <c r="E30" s="148">
        <v>3.5</v>
      </c>
      <c r="F30" s="148"/>
      <c r="G30" s="148"/>
      <c r="H30" s="148"/>
      <c r="I30" s="147">
        <f t="shared" ref="I30:I35" si="9">SUM(C30:H30)</f>
        <v>3.5</v>
      </c>
      <c r="J30" s="443">
        <f>(C19*0.12)/24</f>
        <v>3</v>
      </c>
    </row>
    <row r="31" spans="1:14" x14ac:dyDescent="0.3">
      <c r="B31" s="25" t="s">
        <v>21</v>
      </c>
      <c r="C31" s="147">
        <v>1</v>
      </c>
      <c r="D31" s="147"/>
      <c r="E31" s="147"/>
      <c r="F31" s="147"/>
      <c r="G31" s="147"/>
      <c r="H31" s="147"/>
      <c r="I31" s="147">
        <f t="shared" si="9"/>
        <v>1</v>
      </c>
      <c r="J31" s="60"/>
    </row>
    <row r="32" spans="1:14" x14ac:dyDescent="0.3">
      <c r="B32" s="25" t="s">
        <v>22</v>
      </c>
      <c r="C32" s="147">
        <v>1</v>
      </c>
      <c r="D32" s="147"/>
      <c r="E32" s="147"/>
      <c r="F32" s="147"/>
      <c r="G32" s="147"/>
      <c r="H32" s="147"/>
      <c r="I32" s="147">
        <f t="shared" si="9"/>
        <v>1</v>
      </c>
      <c r="J32" s="60"/>
    </row>
    <row r="33" spans="2:11" x14ac:dyDescent="0.3">
      <c r="B33" s="25" t="s">
        <v>23</v>
      </c>
      <c r="C33" s="147">
        <v>1</v>
      </c>
      <c r="D33" s="147"/>
      <c r="E33" s="147"/>
      <c r="F33" s="147"/>
      <c r="G33" s="147"/>
      <c r="H33" s="147"/>
      <c r="I33" s="147">
        <f t="shared" si="9"/>
        <v>1</v>
      </c>
      <c r="J33" s="60"/>
    </row>
    <row r="34" spans="2:11" x14ac:dyDescent="0.3">
      <c r="B34" s="30" t="s">
        <v>24</v>
      </c>
      <c r="C34" s="147">
        <v>1</v>
      </c>
      <c r="D34" s="147"/>
      <c r="E34" s="147"/>
      <c r="F34" s="147"/>
      <c r="G34" s="147"/>
      <c r="H34" s="147"/>
      <c r="I34" s="147">
        <f t="shared" si="9"/>
        <v>1</v>
      </c>
      <c r="J34" s="60"/>
    </row>
    <row r="35" spans="2:11" x14ac:dyDescent="0.3">
      <c r="B35" s="30" t="s">
        <v>25</v>
      </c>
      <c r="C35" s="147">
        <v>0</v>
      </c>
      <c r="D35" s="147"/>
      <c r="E35" s="147"/>
      <c r="F35" s="147"/>
      <c r="G35" s="147"/>
      <c r="H35" s="147"/>
      <c r="I35" s="147">
        <f t="shared" si="9"/>
        <v>0</v>
      </c>
      <c r="J35" s="60"/>
    </row>
    <row r="36" spans="2:11" x14ac:dyDescent="0.3">
      <c r="B36" s="30" t="s">
        <v>26</v>
      </c>
      <c r="C36" s="147">
        <v>0.5</v>
      </c>
      <c r="D36" s="147"/>
      <c r="E36" s="147"/>
      <c r="F36" s="147"/>
      <c r="G36" s="147"/>
      <c r="H36" s="147"/>
      <c r="I36" s="147">
        <f>SUM(C36:H36)</f>
        <v>0.5</v>
      </c>
      <c r="J36" s="60"/>
    </row>
    <row r="37" spans="2:11" x14ac:dyDescent="0.3">
      <c r="B37" s="31" t="s">
        <v>27</v>
      </c>
      <c r="C37" s="149">
        <f t="shared" ref="C37" si="10">SUM(C29:C36)</f>
        <v>24.5</v>
      </c>
      <c r="D37" s="149">
        <f t="shared" ref="D37:I37" si="11">SUM(D29:D36)</f>
        <v>0</v>
      </c>
      <c r="E37" s="149">
        <f t="shared" si="11"/>
        <v>3.5</v>
      </c>
      <c r="F37" s="149">
        <f t="shared" si="11"/>
        <v>0</v>
      </c>
      <c r="G37" s="149">
        <f t="shared" si="11"/>
        <v>0</v>
      </c>
      <c r="H37" s="149">
        <f t="shared" si="11"/>
        <v>0</v>
      </c>
      <c r="I37" s="149">
        <f t="shared" si="11"/>
        <v>28</v>
      </c>
      <c r="J37" s="443"/>
      <c r="K37" s="221"/>
    </row>
    <row r="38" spans="2:11" x14ac:dyDescent="0.3">
      <c r="B38" s="33"/>
      <c r="C38" s="143"/>
      <c r="D38" s="143"/>
      <c r="E38" s="143"/>
      <c r="F38" s="143"/>
      <c r="G38" s="143"/>
      <c r="H38" s="143"/>
      <c r="I38" s="143"/>
      <c r="J38" s="60"/>
    </row>
    <row r="39" spans="2:11" x14ac:dyDescent="0.3">
      <c r="B39" s="19" t="s">
        <v>28</v>
      </c>
      <c r="C39" s="150" t="str">
        <f t="shared" ref="C39" si="12">C1</f>
        <v>Operating</v>
      </c>
      <c r="D39" s="150" t="str">
        <f t="shared" ref="D39:I39" si="13">D1</f>
        <v>Weights</v>
      </c>
      <c r="E39" s="150" t="str">
        <f t="shared" si="13"/>
        <v>SPED</v>
      </c>
      <c r="F39" s="150" t="str">
        <f t="shared" si="13"/>
        <v>NSLP</v>
      </c>
      <c r="G39" s="150" t="str">
        <f t="shared" si="13"/>
        <v>Title 1</v>
      </c>
      <c r="H39" s="150" t="str">
        <f t="shared" si="13"/>
        <v>Title 2</v>
      </c>
      <c r="I39" s="150" t="str">
        <f t="shared" si="13"/>
        <v>Total</v>
      </c>
      <c r="J39" s="444"/>
    </row>
    <row r="40" spans="2:11" hidden="1" x14ac:dyDescent="0.3">
      <c r="B40" s="25" t="s">
        <v>29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/>
      <c r="I40" s="151">
        <v>0</v>
      </c>
      <c r="J40" s="60"/>
    </row>
    <row r="41" spans="2:11" x14ac:dyDescent="0.3">
      <c r="B41" s="25" t="s">
        <v>30</v>
      </c>
      <c r="C41" s="147">
        <v>1</v>
      </c>
      <c r="D41" s="147"/>
      <c r="E41" s="147"/>
      <c r="F41" s="147"/>
      <c r="G41" s="147"/>
      <c r="H41" s="147"/>
      <c r="I41" s="147">
        <f>SUM(C41:H41)</f>
        <v>1</v>
      </c>
      <c r="J41" s="60"/>
    </row>
    <row r="42" spans="2:11" x14ac:dyDescent="0.3">
      <c r="B42" s="25" t="s">
        <v>31</v>
      </c>
      <c r="C42" s="147">
        <v>1</v>
      </c>
      <c r="D42" s="147"/>
      <c r="E42" s="147"/>
      <c r="F42" s="147"/>
      <c r="G42" s="147"/>
      <c r="H42" s="147"/>
      <c r="I42" s="147">
        <f t="shared" ref="I42:I59" si="14">SUM(C42:H42)</f>
        <v>1</v>
      </c>
      <c r="J42" s="60"/>
    </row>
    <row r="43" spans="2:11" x14ac:dyDescent="0.3">
      <c r="B43" s="25" t="s">
        <v>413</v>
      </c>
      <c r="C43" s="147">
        <v>1</v>
      </c>
      <c r="D43" s="147"/>
      <c r="E43" s="147"/>
      <c r="F43" s="147"/>
      <c r="G43" s="147"/>
      <c r="H43" s="147"/>
      <c r="I43" s="147">
        <f t="shared" si="14"/>
        <v>1</v>
      </c>
      <c r="J43" s="60"/>
    </row>
    <row r="44" spans="2:11" x14ac:dyDescent="0.3">
      <c r="B44" s="36" t="s">
        <v>412</v>
      </c>
      <c r="C44" s="147">
        <v>0</v>
      </c>
      <c r="D44" s="147">
        <v>0</v>
      </c>
      <c r="E44" s="147"/>
      <c r="F44" s="147"/>
      <c r="G44" s="147">
        <v>1</v>
      </c>
      <c r="H44" s="147"/>
      <c r="I44" s="147">
        <f t="shared" si="14"/>
        <v>1</v>
      </c>
      <c r="J44" s="60"/>
    </row>
    <row r="45" spans="2:11" x14ac:dyDescent="0.3">
      <c r="B45" s="36" t="s">
        <v>415</v>
      </c>
      <c r="C45" s="147">
        <v>0</v>
      </c>
      <c r="D45" s="147">
        <v>1</v>
      </c>
      <c r="E45" s="147"/>
      <c r="F45" s="147"/>
      <c r="G45" s="147"/>
      <c r="H45" s="147"/>
      <c r="I45" s="147">
        <f t="shared" si="14"/>
        <v>1</v>
      </c>
      <c r="J45" s="60"/>
    </row>
    <row r="46" spans="2:11" x14ac:dyDescent="0.3">
      <c r="B46" s="25" t="s">
        <v>32</v>
      </c>
      <c r="C46" s="147">
        <v>1</v>
      </c>
      <c r="D46" s="147"/>
      <c r="E46" s="147"/>
      <c r="F46" s="147"/>
      <c r="G46" s="147"/>
      <c r="H46" s="147"/>
      <c r="I46" s="147">
        <f t="shared" si="14"/>
        <v>1</v>
      </c>
      <c r="J46" s="225"/>
    </row>
    <row r="47" spans="2:11" x14ac:dyDescent="0.3">
      <c r="B47" s="25" t="s">
        <v>33</v>
      </c>
      <c r="C47" s="147">
        <v>1</v>
      </c>
      <c r="D47" s="147"/>
      <c r="E47" s="147"/>
      <c r="F47" s="147"/>
      <c r="G47" s="147"/>
      <c r="H47" s="147"/>
      <c r="I47" s="147">
        <f t="shared" si="14"/>
        <v>1</v>
      </c>
      <c r="J47" s="225"/>
    </row>
    <row r="48" spans="2:11" x14ac:dyDescent="0.3">
      <c r="B48" s="25" t="s">
        <v>34</v>
      </c>
      <c r="C48" s="147">
        <v>1</v>
      </c>
      <c r="D48" s="147"/>
      <c r="E48" s="147"/>
      <c r="F48" s="147"/>
      <c r="G48" s="147"/>
      <c r="H48" s="147"/>
      <c r="I48" s="147">
        <f t="shared" si="14"/>
        <v>1</v>
      </c>
      <c r="J48" s="225"/>
    </row>
    <row r="49" spans="2:14" x14ac:dyDescent="0.3">
      <c r="B49" s="25" t="s">
        <v>35</v>
      </c>
      <c r="C49" s="147">
        <v>1</v>
      </c>
      <c r="D49" s="147"/>
      <c r="E49" s="147"/>
      <c r="F49" s="147"/>
      <c r="G49" s="147"/>
      <c r="H49" s="147"/>
      <c r="I49" s="147">
        <f t="shared" si="14"/>
        <v>1</v>
      </c>
      <c r="J49" s="225"/>
    </row>
    <row r="50" spans="2:14" x14ac:dyDescent="0.3">
      <c r="B50" s="25" t="s">
        <v>427</v>
      </c>
      <c r="C50" s="147">
        <v>0</v>
      </c>
      <c r="D50" s="147">
        <v>0</v>
      </c>
      <c r="E50" s="147">
        <v>1</v>
      </c>
      <c r="F50" s="147"/>
      <c r="G50" s="147">
        <v>3</v>
      </c>
      <c r="H50" s="147"/>
      <c r="I50" s="147">
        <f t="shared" si="14"/>
        <v>4</v>
      </c>
      <c r="J50" s="225"/>
      <c r="K50" s="221"/>
      <c r="L50" s="221"/>
      <c r="M50" s="221"/>
      <c r="N50" s="221"/>
    </row>
    <row r="51" spans="2:14" x14ac:dyDescent="0.3">
      <c r="B51" s="488" t="s">
        <v>458</v>
      </c>
      <c r="C51" s="147">
        <v>1</v>
      </c>
      <c r="D51" s="147"/>
      <c r="E51" s="147"/>
      <c r="F51" s="147"/>
      <c r="G51" s="147"/>
      <c r="H51" s="147"/>
      <c r="I51" s="147">
        <f t="shared" si="14"/>
        <v>1</v>
      </c>
      <c r="J51" s="225"/>
    </row>
    <row r="52" spans="2:14" x14ac:dyDescent="0.3">
      <c r="B52" s="25" t="s">
        <v>414</v>
      </c>
      <c r="C52" s="147">
        <v>0</v>
      </c>
      <c r="D52" s="147"/>
      <c r="E52" s="147"/>
      <c r="F52" s="147">
        <v>1</v>
      </c>
      <c r="G52" s="147"/>
      <c r="H52" s="147"/>
      <c r="I52" s="147">
        <f t="shared" si="14"/>
        <v>1</v>
      </c>
      <c r="J52" s="225"/>
    </row>
    <row r="53" spans="2:14" x14ac:dyDescent="0.3">
      <c r="B53" s="37" t="s">
        <v>37</v>
      </c>
      <c r="C53" s="147">
        <v>0</v>
      </c>
      <c r="D53" s="147"/>
      <c r="E53" s="147"/>
      <c r="F53" s="147"/>
      <c r="G53" s="147"/>
      <c r="H53" s="147"/>
      <c r="I53" s="147">
        <f t="shared" si="14"/>
        <v>0</v>
      </c>
      <c r="J53" s="225"/>
    </row>
    <row r="54" spans="2:14" x14ac:dyDescent="0.3">
      <c r="B54" s="37" t="s">
        <v>38</v>
      </c>
      <c r="C54" s="147">
        <v>0</v>
      </c>
      <c r="D54" s="147"/>
      <c r="E54" s="147"/>
      <c r="F54" s="147"/>
      <c r="G54" s="147"/>
      <c r="H54" s="147"/>
      <c r="I54" s="147">
        <f t="shared" si="14"/>
        <v>0</v>
      </c>
      <c r="J54" s="225"/>
    </row>
    <row r="55" spans="2:14" x14ac:dyDescent="0.3">
      <c r="B55" s="37" t="s">
        <v>39</v>
      </c>
      <c r="C55" s="147">
        <v>0</v>
      </c>
      <c r="D55" s="147"/>
      <c r="E55" s="147"/>
      <c r="F55" s="147"/>
      <c r="G55" s="147"/>
      <c r="H55" s="147"/>
      <c r="I55" s="147">
        <f>SUM(C55:H55)</f>
        <v>0</v>
      </c>
      <c r="J55" s="225"/>
    </row>
    <row r="56" spans="2:14" x14ac:dyDescent="0.3">
      <c r="B56" s="37" t="s">
        <v>40</v>
      </c>
      <c r="C56" s="147">
        <v>0</v>
      </c>
      <c r="D56" s="147"/>
      <c r="E56" s="147"/>
      <c r="F56" s="147"/>
      <c r="G56" s="147"/>
      <c r="H56" s="147"/>
      <c r="I56" s="147">
        <f t="shared" si="14"/>
        <v>0</v>
      </c>
      <c r="J56" s="225"/>
    </row>
    <row r="57" spans="2:14" x14ac:dyDescent="0.3">
      <c r="B57" s="37" t="s">
        <v>70</v>
      </c>
      <c r="C57" s="147">
        <v>0</v>
      </c>
      <c r="D57" s="147"/>
      <c r="E57" s="147"/>
      <c r="F57" s="147"/>
      <c r="G57" s="147"/>
      <c r="H57" s="147"/>
      <c r="I57" s="147">
        <f t="shared" si="14"/>
        <v>0</v>
      </c>
      <c r="J57" s="231"/>
    </row>
    <row r="58" spans="2:14" x14ac:dyDescent="0.3">
      <c r="B58" s="37" t="s">
        <v>417</v>
      </c>
      <c r="C58" s="147">
        <v>0</v>
      </c>
      <c r="D58" s="147">
        <v>1</v>
      </c>
      <c r="E58" s="147"/>
      <c r="F58" s="147"/>
      <c r="G58" s="147"/>
      <c r="H58" s="147"/>
      <c r="I58" s="147">
        <f t="shared" si="14"/>
        <v>1</v>
      </c>
      <c r="J58" s="225"/>
    </row>
    <row r="59" spans="2:14" x14ac:dyDescent="0.3">
      <c r="B59" s="39"/>
      <c r="C59" s="151"/>
      <c r="D59" s="151"/>
      <c r="E59" s="151"/>
      <c r="F59" s="151"/>
      <c r="G59" s="151"/>
      <c r="H59" s="151"/>
      <c r="I59" s="147">
        <f t="shared" si="14"/>
        <v>0</v>
      </c>
      <c r="J59" s="225"/>
    </row>
    <row r="60" spans="2:14" x14ac:dyDescent="0.3">
      <c r="B60" s="31" t="s">
        <v>41</v>
      </c>
      <c r="C60" s="152">
        <f t="shared" ref="C60" si="15">SUM(C40:C59)</f>
        <v>8</v>
      </c>
      <c r="D60" s="152">
        <f>SUM(D40:D59)</f>
        <v>2</v>
      </c>
      <c r="E60" s="152">
        <f t="shared" ref="E60:I60" si="16">SUM(E40:E59)</f>
        <v>1</v>
      </c>
      <c r="F60" s="152">
        <f t="shared" si="16"/>
        <v>1</v>
      </c>
      <c r="G60" s="152">
        <f t="shared" si="16"/>
        <v>4</v>
      </c>
      <c r="H60" s="152">
        <f t="shared" si="16"/>
        <v>0</v>
      </c>
      <c r="I60" s="152">
        <f t="shared" si="16"/>
        <v>16</v>
      </c>
      <c r="J60" s="231"/>
      <c r="K60" s="221"/>
    </row>
    <row r="61" spans="2:14" ht="15" thickBot="1" x14ac:dyDescent="0.35">
      <c r="B61" s="41"/>
      <c r="C61" s="153"/>
      <c r="D61" s="153"/>
      <c r="E61" s="153"/>
      <c r="F61" s="153"/>
      <c r="G61" s="153"/>
      <c r="H61" s="153"/>
      <c r="I61" s="153"/>
      <c r="J61" s="225"/>
    </row>
    <row r="62" spans="2:14" x14ac:dyDescent="0.3">
      <c r="B62" s="43" t="s">
        <v>42</v>
      </c>
      <c r="C62" s="44">
        <f t="shared" ref="C62" si="17">C37</f>
        <v>24.5</v>
      </c>
      <c r="D62" s="44">
        <f>D37</f>
        <v>0</v>
      </c>
      <c r="E62" s="44">
        <f t="shared" ref="E62:I62" si="18">E37</f>
        <v>3.5</v>
      </c>
      <c r="F62" s="44">
        <f t="shared" si="18"/>
        <v>0</v>
      </c>
      <c r="G62" s="44">
        <f t="shared" si="18"/>
        <v>0</v>
      </c>
      <c r="H62" s="44">
        <f t="shared" ref="H62" si="19">H37</f>
        <v>0</v>
      </c>
      <c r="I62" s="44">
        <f t="shared" si="18"/>
        <v>28</v>
      </c>
      <c r="J62" s="225"/>
    </row>
    <row r="63" spans="2:14" ht="15" thickBot="1" x14ac:dyDescent="0.35">
      <c r="B63" s="45" t="s">
        <v>43</v>
      </c>
      <c r="C63" s="46">
        <f t="shared" ref="C63" si="20">C60</f>
        <v>8</v>
      </c>
      <c r="D63" s="46">
        <f>D60</f>
        <v>2</v>
      </c>
      <c r="E63" s="46">
        <f t="shared" ref="E63:I63" si="21">E60</f>
        <v>1</v>
      </c>
      <c r="F63" s="46">
        <f t="shared" si="21"/>
        <v>1</v>
      </c>
      <c r="G63" s="46">
        <f t="shared" si="21"/>
        <v>4</v>
      </c>
      <c r="H63" s="46">
        <f t="shared" ref="H63" si="22">H60</f>
        <v>0</v>
      </c>
      <c r="I63" s="46">
        <f t="shared" si="21"/>
        <v>16</v>
      </c>
      <c r="J63" s="225"/>
    </row>
    <row r="64" spans="2:14" ht="15" thickBot="1" x14ac:dyDescent="0.35">
      <c r="B64" s="47" t="s">
        <v>44</v>
      </c>
      <c r="C64" s="48">
        <f t="shared" ref="C64" si="23">SUM(C62:C63)</f>
        <v>32.5</v>
      </c>
      <c r="D64" s="48">
        <f>SUM(D62:D63)</f>
        <v>2</v>
      </c>
      <c r="E64" s="48">
        <f t="shared" ref="E64:I64" si="24">SUM(E62:E63)</f>
        <v>4.5</v>
      </c>
      <c r="F64" s="48">
        <f t="shared" si="24"/>
        <v>1</v>
      </c>
      <c r="G64" s="48">
        <f t="shared" si="24"/>
        <v>4</v>
      </c>
      <c r="H64" s="48">
        <f t="shared" ref="H64" si="25">SUM(H62:H63)</f>
        <v>0</v>
      </c>
      <c r="I64" s="48">
        <f t="shared" si="24"/>
        <v>44</v>
      </c>
      <c r="J64" s="225"/>
    </row>
    <row r="65" spans="1:14" ht="15" thickBot="1" x14ac:dyDescent="0.35">
      <c r="B65" s="37"/>
      <c r="C65" s="154"/>
      <c r="D65" s="154"/>
      <c r="E65" s="154"/>
      <c r="F65" s="154"/>
      <c r="G65" s="154"/>
      <c r="H65" s="154"/>
      <c r="I65" s="154"/>
      <c r="J65" s="225"/>
    </row>
    <row r="66" spans="1:14" x14ac:dyDescent="0.3">
      <c r="B66" s="127" t="s">
        <v>45</v>
      </c>
      <c r="C66" s="51"/>
      <c r="D66" s="432"/>
      <c r="E66" s="51"/>
      <c r="F66" s="51"/>
      <c r="G66" s="51"/>
      <c r="H66" s="51"/>
      <c r="I66" s="432">
        <f t="shared" ref="I66" si="26">I135/(I203+I205+I206+I207+I208+I209)</f>
        <v>0.2130944294972561</v>
      </c>
      <c r="J66" s="225"/>
    </row>
    <row r="67" spans="1:14" x14ac:dyDescent="0.3">
      <c r="B67" s="33" t="s">
        <v>46</v>
      </c>
      <c r="C67" s="53"/>
      <c r="D67" s="433"/>
      <c r="E67" s="53"/>
      <c r="F67" s="53"/>
      <c r="G67" s="53"/>
      <c r="H67" s="53"/>
      <c r="I67" s="433">
        <f t="shared" ref="I67" si="27">(I108+I109+I112+I123)/I128</f>
        <v>0.72128723164671216</v>
      </c>
      <c r="J67" s="225"/>
    </row>
    <row r="68" spans="1:14" x14ac:dyDescent="0.3">
      <c r="B68" s="128" t="s">
        <v>47</v>
      </c>
      <c r="C68" s="53"/>
      <c r="D68" s="433"/>
      <c r="E68" s="53"/>
      <c r="F68" s="53"/>
      <c r="G68" s="53"/>
      <c r="H68" s="53"/>
      <c r="I68" s="433">
        <f t="shared" ref="I68" si="28">(I102+I103+I104+I107+I110+I111+I113+I114+I117+I118+I119+I120+I121+I122+I125+I126)/I128</f>
        <v>0.22409589975081037</v>
      </c>
      <c r="J68" s="225"/>
    </row>
    <row r="69" spans="1:14" ht="15" thickBot="1" x14ac:dyDescent="0.35">
      <c r="B69" s="129" t="s">
        <v>48</v>
      </c>
      <c r="C69" s="56"/>
      <c r="D69" s="434"/>
      <c r="E69" s="56"/>
      <c r="F69" s="56"/>
      <c r="G69" s="56"/>
      <c r="H69" s="56"/>
      <c r="I69" s="434">
        <f>(I206+I207+I208+I209)/(I98-I87)</f>
        <v>0.10834912146314167</v>
      </c>
      <c r="J69" s="225"/>
    </row>
    <row r="70" spans="1:14" s="62" customFormat="1" x14ac:dyDescent="0.3">
      <c r="A70" s="57"/>
      <c r="B70" s="58"/>
      <c r="C70" s="154"/>
      <c r="D70" s="154"/>
      <c r="E70" s="154"/>
      <c r="F70" s="154"/>
      <c r="G70" s="154"/>
      <c r="H70" s="154"/>
      <c r="I70" s="154"/>
      <c r="J70" s="225"/>
    </row>
    <row r="71" spans="1:14" s="62" customFormat="1" x14ac:dyDescent="0.3">
      <c r="A71" s="57"/>
      <c r="C71" s="154"/>
      <c r="D71" s="154"/>
      <c r="E71" s="154"/>
      <c r="F71" s="154"/>
      <c r="G71" s="154"/>
      <c r="H71" s="154"/>
      <c r="I71" s="154"/>
      <c r="J71" s="225"/>
    </row>
    <row r="72" spans="1:14" x14ac:dyDescent="0.3">
      <c r="A72" s="63"/>
      <c r="B72" s="130" t="s">
        <v>405</v>
      </c>
      <c r="C72" s="155" t="str">
        <f t="shared" ref="C72" si="29">C1</f>
        <v>Operating</v>
      </c>
      <c r="D72" s="155" t="str">
        <f t="shared" ref="D72:I72" si="30">D1</f>
        <v>Weights</v>
      </c>
      <c r="E72" s="155" t="str">
        <f t="shared" si="30"/>
        <v>SPED</v>
      </c>
      <c r="F72" s="155" t="str">
        <f t="shared" si="30"/>
        <v>NSLP</v>
      </c>
      <c r="G72" s="155" t="str">
        <f t="shared" si="30"/>
        <v>Title 1</v>
      </c>
      <c r="H72" s="155" t="str">
        <f t="shared" si="30"/>
        <v>Title 2</v>
      </c>
      <c r="I72" s="155" t="str">
        <f t="shared" si="30"/>
        <v>Total</v>
      </c>
      <c r="J72" s="232"/>
      <c r="K72" s="273" t="s">
        <v>221</v>
      </c>
      <c r="L72" s="273" t="s">
        <v>222</v>
      </c>
      <c r="M72" s="273" t="s">
        <v>223</v>
      </c>
    </row>
    <row r="73" spans="1:14" x14ac:dyDescent="0.3">
      <c r="A73" s="67">
        <v>3110</v>
      </c>
      <c r="B73" s="413" t="s">
        <v>339</v>
      </c>
      <c r="C73" s="156">
        <f>(C2*C5)</f>
        <v>4667834.0697450442</v>
      </c>
      <c r="D73" s="156"/>
      <c r="E73" s="156"/>
      <c r="F73" s="156"/>
      <c r="G73" s="156"/>
      <c r="H73" s="156"/>
      <c r="I73" s="143">
        <f>SUM(C73:H73)</f>
        <v>4667834.0697450442</v>
      </c>
      <c r="J73" s="233"/>
      <c r="K73" s="219">
        <v>200</v>
      </c>
      <c r="L73" s="219">
        <v>280</v>
      </c>
      <c r="M73" s="219">
        <v>364</v>
      </c>
    </row>
    <row r="74" spans="1:14" x14ac:dyDescent="0.3">
      <c r="A74" s="67">
        <v>4500</v>
      </c>
      <c r="B74" s="409" t="s">
        <v>331</v>
      </c>
      <c r="C74" s="143"/>
      <c r="D74" s="143"/>
      <c r="E74" s="143"/>
      <c r="F74" s="143">
        <f>(C19*F25)*3.5*180+((C19*F25)*1.84*180)</f>
        <v>495979.2</v>
      </c>
      <c r="G74" s="143"/>
      <c r="H74" s="143"/>
      <c r="I74" s="143">
        <f t="shared" ref="I74:I84" si="31">SUM(C74:H74)</f>
        <v>495979.2</v>
      </c>
      <c r="J74" s="234"/>
      <c r="K74" s="272">
        <v>91981</v>
      </c>
      <c r="L74" s="272">
        <v>89741.34</v>
      </c>
      <c r="M74" s="272">
        <f>233347-50000</f>
        <v>183347</v>
      </c>
    </row>
    <row r="75" spans="1:14" x14ac:dyDescent="0.3">
      <c r="A75" s="67">
        <v>4500</v>
      </c>
      <c r="B75" s="409" t="s">
        <v>330</v>
      </c>
      <c r="C75" s="143"/>
      <c r="D75" s="143"/>
      <c r="E75" s="143">
        <f>950*'26-27'!E22</f>
        <v>64979.999999999993</v>
      </c>
      <c r="F75" s="143"/>
      <c r="G75" s="143"/>
      <c r="H75" s="143"/>
      <c r="I75" s="143">
        <f t="shared" si="31"/>
        <v>64979.999999999993</v>
      </c>
      <c r="J75" s="235"/>
      <c r="L75" s="274"/>
      <c r="N75" s="219">
        <f>35000</f>
        <v>35000</v>
      </c>
    </row>
    <row r="76" spans="1:14" x14ac:dyDescent="0.3">
      <c r="A76" s="74">
        <v>3115</v>
      </c>
      <c r="B76" s="410" t="s">
        <v>51</v>
      </c>
      <c r="C76" s="153"/>
      <c r="D76" s="153"/>
      <c r="E76" s="153">
        <f>2755*'26-27'!E22</f>
        <v>188441.99999999997</v>
      </c>
      <c r="F76" s="153"/>
      <c r="G76" s="153"/>
      <c r="H76" s="153"/>
      <c r="I76" s="143">
        <f t="shared" si="31"/>
        <v>188441.99999999997</v>
      </c>
      <c r="J76" s="235"/>
    </row>
    <row r="77" spans="1:14" x14ac:dyDescent="0.3">
      <c r="A77" s="74"/>
      <c r="B77" s="410" t="s">
        <v>384</v>
      </c>
      <c r="C77" s="153"/>
      <c r="D77" s="153"/>
      <c r="E77" s="153"/>
      <c r="F77" s="153"/>
      <c r="G77" s="153">
        <f>((C19*F25)*0.9)*400</f>
        <v>185760</v>
      </c>
      <c r="H77" s="153"/>
      <c r="I77" s="143">
        <f t="shared" si="31"/>
        <v>185760</v>
      </c>
      <c r="J77" s="235"/>
    </row>
    <row r="78" spans="1:14" x14ac:dyDescent="0.3">
      <c r="A78" s="74"/>
      <c r="B78" s="409" t="s">
        <v>390</v>
      </c>
      <c r="C78" s="153"/>
      <c r="D78" s="153"/>
      <c r="E78" s="153"/>
      <c r="F78" s="153"/>
      <c r="G78" s="153"/>
      <c r="H78" s="153">
        <f>'26-27'!C19*85</f>
        <v>48450</v>
      </c>
      <c r="I78" s="143">
        <f t="shared" si="31"/>
        <v>48450</v>
      </c>
      <c r="J78" s="235"/>
    </row>
    <row r="79" spans="1:14" x14ac:dyDescent="0.3">
      <c r="A79" s="74"/>
      <c r="B79" s="409" t="s">
        <v>416</v>
      </c>
      <c r="C79" s="153"/>
      <c r="D79" s="153">
        <f>1635.98*'26-27'!D23</f>
        <v>195826.80599999998</v>
      </c>
      <c r="E79" s="153"/>
      <c r="F79" s="153"/>
      <c r="G79" s="153"/>
      <c r="H79" s="153"/>
      <c r="I79" s="143">
        <f t="shared" si="31"/>
        <v>195826.80599999998</v>
      </c>
      <c r="J79" s="235"/>
      <c r="K79" s="414">
        <f>7074*0.23</f>
        <v>1627.02</v>
      </c>
      <c r="L79" s="219" t="s">
        <v>342</v>
      </c>
    </row>
    <row r="80" spans="1:14" x14ac:dyDescent="0.3">
      <c r="A80" s="67">
        <v>3200</v>
      </c>
      <c r="B80" s="409" t="s">
        <v>332</v>
      </c>
      <c r="C80" s="143"/>
      <c r="D80" s="143"/>
      <c r="E80" s="143"/>
      <c r="F80" s="143"/>
      <c r="G80" s="143"/>
      <c r="H80" s="143"/>
      <c r="I80" s="143">
        <f t="shared" si="31"/>
        <v>0</v>
      </c>
      <c r="J80" s="235"/>
      <c r="K80" s="414">
        <f>7074*0.12</f>
        <v>848.88</v>
      </c>
      <c r="L80" s="219" t="s">
        <v>343</v>
      </c>
    </row>
    <row r="81" spans="1:13" x14ac:dyDescent="0.3">
      <c r="A81" s="67"/>
      <c r="B81" s="409" t="s">
        <v>334</v>
      </c>
      <c r="C81" s="143"/>
      <c r="D81" s="143">
        <f>'26-27'!D26*247.07</f>
        <v>81146.188380000007</v>
      </c>
      <c r="E81" s="143"/>
      <c r="F81" s="143"/>
      <c r="G81" s="143"/>
      <c r="H81" s="143"/>
      <c r="I81" s="143">
        <f t="shared" si="31"/>
        <v>81146.188380000007</v>
      </c>
      <c r="J81" s="225"/>
      <c r="K81" s="414">
        <f>7074*0.03</f>
        <v>212.22</v>
      </c>
      <c r="L81" s="274" t="s">
        <v>344</v>
      </c>
      <c r="M81" s="274"/>
    </row>
    <row r="82" spans="1:13" x14ac:dyDescent="0.3">
      <c r="A82" s="67"/>
      <c r="B82" s="71" t="s">
        <v>456</v>
      </c>
      <c r="C82" s="143"/>
      <c r="D82" s="143"/>
      <c r="E82" s="143"/>
      <c r="F82" s="143"/>
      <c r="G82" s="143"/>
      <c r="H82" s="143"/>
      <c r="I82" s="143">
        <f t="shared" si="31"/>
        <v>0</v>
      </c>
      <c r="J82" s="225"/>
      <c r="K82" s="274"/>
      <c r="L82" s="274"/>
      <c r="M82" s="274"/>
    </row>
    <row r="83" spans="1:13" x14ac:dyDescent="0.3">
      <c r="A83" s="67"/>
      <c r="B83" s="506" t="s">
        <v>454</v>
      </c>
      <c r="C83" s="143">
        <v>0</v>
      </c>
      <c r="D83" s="143"/>
      <c r="E83" s="143"/>
      <c r="F83" s="143"/>
      <c r="G83" s="143"/>
      <c r="H83" s="143"/>
      <c r="I83" s="143">
        <f t="shared" si="31"/>
        <v>0</v>
      </c>
      <c r="J83" s="225"/>
      <c r="K83" s="274"/>
      <c r="L83" s="274"/>
      <c r="M83" s="274"/>
    </row>
    <row r="84" spans="1:13" ht="15" thickBot="1" x14ac:dyDescent="0.35">
      <c r="A84" s="67"/>
      <c r="B84" s="82" t="s">
        <v>428</v>
      </c>
      <c r="C84" s="143">
        <v>0</v>
      </c>
      <c r="D84" s="143"/>
      <c r="E84" s="143"/>
      <c r="F84" s="143"/>
      <c r="G84" s="143"/>
      <c r="H84" s="143"/>
      <c r="I84" s="143">
        <f t="shared" si="31"/>
        <v>0</v>
      </c>
      <c r="J84" s="431"/>
      <c r="K84" s="167"/>
    </row>
    <row r="85" spans="1:13" ht="15" thickBot="1" x14ac:dyDescent="0.35">
      <c r="A85" s="75"/>
      <c r="B85" s="131" t="s">
        <v>52</v>
      </c>
      <c r="C85" s="77">
        <f t="shared" ref="C85:I85" si="32">SUM(C73:C84)</f>
        <v>4667834.0697450442</v>
      </c>
      <c r="D85" s="77">
        <f t="shared" si="32"/>
        <v>276972.99437999999</v>
      </c>
      <c r="E85" s="77">
        <f t="shared" si="32"/>
        <v>253421.99999999997</v>
      </c>
      <c r="F85" s="77">
        <f t="shared" si="32"/>
        <v>495979.2</v>
      </c>
      <c r="G85" s="77">
        <f t="shared" si="32"/>
        <v>185760</v>
      </c>
      <c r="H85" s="77">
        <f t="shared" si="32"/>
        <v>48450</v>
      </c>
      <c r="I85" s="77">
        <f t="shared" si="32"/>
        <v>5928418.2641250445</v>
      </c>
      <c r="J85" s="225"/>
    </row>
    <row r="86" spans="1:13" hidden="1" x14ac:dyDescent="0.3">
      <c r="A86" s="78"/>
      <c r="B86" s="71" t="s">
        <v>53</v>
      </c>
      <c r="C86" s="157">
        <f>C2*C5</f>
        <v>4667834.0697450442</v>
      </c>
      <c r="D86" s="157"/>
      <c r="E86" s="157"/>
      <c r="F86" s="157"/>
      <c r="G86" s="157"/>
      <c r="H86" s="157"/>
      <c r="I86" s="143">
        <f>SUM(C86:H86)</f>
        <v>4667834.0697450442</v>
      </c>
      <c r="J86" s="231"/>
    </row>
    <row r="87" spans="1:13" hidden="1" x14ac:dyDescent="0.3">
      <c r="A87" s="67"/>
      <c r="B87" s="409" t="str">
        <f t="shared" ref="B87:G89" si="33">B74</f>
        <v>National School Lunch Program (NSLP)</v>
      </c>
      <c r="C87" s="143">
        <f t="shared" si="33"/>
        <v>0</v>
      </c>
      <c r="D87" s="143">
        <f t="shared" si="33"/>
        <v>0</v>
      </c>
      <c r="E87" s="143">
        <f t="shared" si="33"/>
        <v>0</v>
      </c>
      <c r="F87" s="143">
        <f t="shared" si="33"/>
        <v>495979.2</v>
      </c>
      <c r="G87" s="143">
        <f t="shared" si="33"/>
        <v>0</v>
      </c>
      <c r="H87" s="143">
        <f t="shared" ref="H87" si="34">H74</f>
        <v>0</v>
      </c>
      <c r="I87" s="143">
        <f t="shared" ref="I87:I97" si="35">SUM(C87:H87)</f>
        <v>495979.2</v>
      </c>
      <c r="J87" s="225"/>
    </row>
    <row r="88" spans="1:13" hidden="1" x14ac:dyDescent="0.3">
      <c r="A88" s="67"/>
      <c r="B88" s="409" t="str">
        <f t="shared" si="33"/>
        <v>SPED Funding (Part B)</v>
      </c>
      <c r="C88" s="143">
        <f t="shared" si="33"/>
        <v>0</v>
      </c>
      <c r="D88" s="143">
        <f t="shared" si="33"/>
        <v>0</v>
      </c>
      <c r="E88" s="143">
        <f t="shared" si="33"/>
        <v>64979.999999999993</v>
      </c>
      <c r="F88" s="143">
        <f t="shared" si="33"/>
        <v>0</v>
      </c>
      <c r="G88" s="143">
        <f t="shared" si="33"/>
        <v>0</v>
      </c>
      <c r="H88" s="143">
        <f t="shared" ref="H88" si="36">H75</f>
        <v>0</v>
      </c>
      <c r="I88" s="143">
        <f t="shared" si="35"/>
        <v>64979.999999999993</v>
      </c>
      <c r="J88" s="225"/>
    </row>
    <row r="89" spans="1:13" hidden="1" x14ac:dyDescent="0.3">
      <c r="A89" s="74"/>
      <c r="B89" s="409" t="str">
        <f t="shared" si="33"/>
        <v>SPED Discretionary Unit</v>
      </c>
      <c r="C89" s="153">
        <f t="shared" si="33"/>
        <v>0</v>
      </c>
      <c r="D89" s="143">
        <f t="shared" si="33"/>
        <v>0</v>
      </c>
      <c r="E89" s="143">
        <f t="shared" si="33"/>
        <v>188441.99999999997</v>
      </c>
      <c r="F89" s="143">
        <f t="shared" si="33"/>
        <v>0</v>
      </c>
      <c r="G89" s="143">
        <f t="shared" si="33"/>
        <v>0</v>
      </c>
      <c r="H89" s="143">
        <f t="shared" ref="H89" si="37">H76</f>
        <v>0</v>
      </c>
      <c r="I89" s="143">
        <f t="shared" si="35"/>
        <v>188441.99999999997</v>
      </c>
      <c r="J89" s="225"/>
    </row>
    <row r="90" spans="1:13" hidden="1" x14ac:dyDescent="0.3">
      <c r="A90" s="74"/>
      <c r="B90" s="409" t="s">
        <v>384</v>
      </c>
      <c r="C90" s="153">
        <f t="shared" ref="C90" si="38">C77</f>
        <v>0</v>
      </c>
      <c r="D90" s="143">
        <f>D77</f>
        <v>0</v>
      </c>
      <c r="E90" s="143">
        <f>E77</f>
        <v>0</v>
      </c>
      <c r="F90" s="143">
        <f>F77</f>
        <v>0</v>
      </c>
      <c r="G90" s="143">
        <f>G77</f>
        <v>185760</v>
      </c>
      <c r="H90" s="143">
        <f>H77</f>
        <v>0</v>
      </c>
      <c r="I90" s="143">
        <f t="shared" si="35"/>
        <v>185760</v>
      </c>
      <c r="J90" s="225"/>
    </row>
    <row r="91" spans="1:13" hidden="1" x14ac:dyDescent="0.3">
      <c r="A91" s="74"/>
      <c r="B91" s="409" t="s">
        <v>390</v>
      </c>
      <c r="C91" s="153"/>
      <c r="D91" s="143"/>
      <c r="E91" s="143"/>
      <c r="F91" s="143"/>
      <c r="G91" s="143">
        <f t="shared" ref="G91:H97" si="39">G78</f>
        <v>0</v>
      </c>
      <c r="H91" s="143">
        <f t="shared" si="39"/>
        <v>48450</v>
      </c>
      <c r="I91" s="143">
        <f t="shared" si="35"/>
        <v>48450</v>
      </c>
      <c r="J91" s="225"/>
    </row>
    <row r="92" spans="1:13" hidden="1" x14ac:dyDescent="0.3">
      <c r="A92" s="67"/>
      <c r="B92" s="409" t="str">
        <f t="shared" ref="B92:F97" si="40">B79</f>
        <v>EL Weight</v>
      </c>
      <c r="C92" s="153">
        <f t="shared" si="40"/>
        <v>0</v>
      </c>
      <c r="D92" s="143">
        <f t="shared" si="40"/>
        <v>195826.80599999998</v>
      </c>
      <c r="E92" s="143">
        <f t="shared" si="40"/>
        <v>0</v>
      </c>
      <c r="F92" s="143">
        <f t="shared" si="40"/>
        <v>0</v>
      </c>
      <c r="G92" s="143">
        <f t="shared" si="39"/>
        <v>0</v>
      </c>
      <c r="H92" s="143">
        <f t="shared" si="39"/>
        <v>0</v>
      </c>
      <c r="I92" s="143">
        <f t="shared" si="35"/>
        <v>195826.80599999998</v>
      </c>
      <c r="J92" s="225"/>
    </row>
    <row r="93" spans="1:13" hidden="1" x14ac:dyDescent="0.3">
      <c r="A93" s="67"/>
      <c r="B93" s="409" t="str">
        <f t="shared" si="40"/>
        <v>Gifted and Talented Education (GATE) Weight</v>
      </c>
      <c r="C93" s="153">
        <f t="shared" si="40"/>
        <v>0</v>
      </c>
      <c r="D93" s="143">
        <f t="shared" si="40"/>
        <v>0</v>
      </c>
      <c r="E93" s="143">
        <f t="shared" si="40"/>
        <v>0</v>
      </c>
      <c r="F93" s="143">
        <f t="shared" si="40"/>
        <v>0</v>
      </c>
      <c r="G93" s="143">
        <f t="shared" si="39"/>
        <v>0</v>
      </c>
      <c r="H93" s="143">
        <f t="shared" si="39"/>
        <v>0</v>
      </c>
      <c r="I93" s="143">
        <f t="shared" si="35"/>
        <v>0</v>
      </c>
      <c r="J93" s="225"/>
    </row>
    <row r="94" spans="1:13" hidden="1" x14ac:dyDescent="0.3">
      <c r="A94" s="67"/>
      <c r="B94" s="409" t="str">
        <f t="shared" si="40"/>
        <v>At-Risk Weight</v>
      </c>
      <c r="C94" s="153">
        <f t="shared" si="40"/>
        <v>0</v>
      </c>
      <c r="D94" s="143">
        <f t="shared" si="40"/>
        <v>81146.188380000007</v>
      </c>
      <c r="E94" s="143">
        <f t="shared" si="40"/>
        <v>0</v>
      </c>
      <c r="F94" s="143">
        <f t="shared" si="40"/>
        <v>0</v>
      </c>
      <c r="G94" s="143">
        <f t="shared" si="39"/>
        <v>0</v>
      </c>
      <c r="H94" s="143">
        <f t="shared" si="39"/>
        <v>0</v>
      </c>
      <c r="I94" s="143">
        <f t="shared" si="35"/>
        <v>81146.188380000007</v>
      </c>
      <c r="J94" s="225"/>
    </row>
    <row r="95" spans="1:13" hidden="1" x14ac:dyDescent="0.3">
      <c r="A95" s="67"/>
      <c r="B95" s="409" t="str">
        <f t="shared" si="40"/>
        <v>OTHER: Charter School Program (CSP) Grant</v>
      </c>
      <c r="C95" s="153">
        <f t="shared" si="40"/>
        <v>0</v>
      </c>
      <c r="D95" s="143">
        <f t="shared" si="40"/>
        <v>0</v>
      </c>
      <c r="E95" s="143">
        <f t="shared" si="40"/>
        <v>0</v>
      </c>
      <c r="F95" s="143">
        <f t="shared" si="40"/>
        <v>0</v>
      </c>
      <c r="G95" s="143">
        <f t="shared" si="39"/>
        <v>0</v>
      </c>
      <c r="H95" s="143">
        <f t="shared" si="39"/>
        <v>0</v>
      </c>
      <c r="I95" s="143">
        <f t="shared" si="35"/>
        <v>0</v>
      </c>
      <c r="J95" s="225"/>
    </row>
    <row r="96" spans="1:13" hidden="1" x14ac:dyDescent="0.3">
      <c r="A96" s="67"/>
      <c r="B96" s="409" t="str">
        <f t="shared" si="40"/>
        <v>OTHER: Donation (Sands Corporation)</v>
      </c>
      <c r="C96" s="153">
        <f t="shared" si="40"/>
        <v>0</v>
      </c>
      <c r="D96" s="143">
        <f t="shared" si="40"/>
        <v>0</v>
      </c>
      <c r="E96" s="143">
        <f t="shared" si="40"/>
        <v>0</v>
      </c>
      <c r="F96" s="143">
        <f t="shared" si="40"/>
        <v>0</v>
      </c>
      <c r="G96" s="143">
        <f t="shared" si="39"/>
        <v>0</v>
      </c>
      <c r="H96" s="143">
        <f t="shared" si="39"/>
        <v>0</v>
      </c>
      <c r="I96" s="143">
        <f t="shared" si="35"/>
        <v>0</v>
      </c>
      <c r="J96" s="225"/>
    </row>
    <row r="97" spans="1:15" hidden="1" x14ac:dyDescent="0.3">
      <c r="A97" s="67"/>
      <c r="B97" s="409" t="str">
        <f t="shared" si="40"/>
        <v>OTHER: Tenant Improvements Donation</v>
      </c>
      <c r="C97" s="153">
        <f t="shared" si="40"/>
        <v>0</v>
      </c>
      <c r="D97" s="143">
        <f t="shared" si="40"/>
        <v>0</v>
      </c>
      <c r="E97" s="143">
        <f t="shared" si="40"/>
        <v>0</v>
      </c>
      <c r="F97" s="143">
        <f t="shared" si="40"/>
        <v>0</v>
      </c>
      <c r="G97" s="143">
        <f t="shared" si="39"/>
        <v>0</v>
      </c>
      <c r="H97" s="143">
        <f t="shared" si="39"/>
        <v>0</v>
      </c>
      <c r="I97" s="143">
        <f t="shared" si="35"/>
        <v>0</v>
      </c>
      <c r="J97" s="225"/>
    </row>
    <row r="98" spans="1:15" hidden="1" x14ac:dyDescent="0.3">
      <c r="A98" s="67"/>
      <c r="B98" s="132" t="s">
        <v>54</v>
      </c>
      <c r="C98" s="158">
        <f t="shared" ref="C98:I98" si="41">SUM(C86:C97)</f>
        <v>4667834.0697450442</v>
      </c>
      <c r="D98" s="158">
        <f t="shared" si="41"/>
        <v>276972.99437999999</v>
      </c>
      <c r="E98" s="158">
        <f t="shared" si="41"/>
        <v>253421.99999999997</v>
      </c>
      <c r="F98" s="158">
        <f t="shared" si="41"/>
        <v>495979.2</v>
      </c>
      <c r="G98" s="158">
        <f t="shared" si="41"/>
        <v>185760</v>
      </c>
      <c r="H98" s="158">
        <f t="shared" si="41"/>
        <v>48450</v>
      </c>
      <c r="I98" s="158">
        <f t="shared" si="41"/>
        <v>5928418.2641250445</v>
      </c>
      <c r="J98" s="225"/>
    </row>
    <row r="99" spans="1:15" s="62" customFormat="1" x14ac:dyDescent="0.3">
      <c r="A99" s="57"/>
      <c r="C99" s="154"/>
      <c r="D99" s="154"/>
      <c r="E99" s="154"/>
      <c r="F99" s="154"/>
      <c r="G99" s="154"/>
      <c r="H99" s="154"/>
      <c r="I99" s="154"/>
      <c r="J99" s="225"/>
    </row>
    <row r="100" spans="1:15" s="62" customFormat="1" ht="15" thickBot="1" x14ac:dyDescent="0.35">
      <c r="A100" s="57"/>
      <c r="B100" s="510" t="s">
        <v>55</v>
      </c>
      <c r="C100" s="511" t="str">
        <f>C1</f>
        <v>Operating</v>
      </c>
      <c r="D100" s="511" t="str">
        <f t="shared" ref="D100:I100" si="42">D1</f>
        <v>Weights</v>
      </c>
      <c r="E100" s="511" t="str">
        <f t="shared" si="42"/>
        <v>SPED</v>
      </c>
      <c r="F100" s="511" t="str">
        <f t="shared" si="42"/>
        <v>NSLP</v>
      </c>
      <c r="G100" s="511" t="str">
        <f t="shared" si="42"/>
        <v>Title 1</v>
      </c>
      <c r="H100" s="511" t="str">
        <f t="shared" si="42"/>
        <v>Title 2</v>
      </c>
      <c r="I100" s="511" t="str">
        <f t="shared" si="42"/>
        <v>Total</v>
      </c>
      <c r="J100" s="225"/>
    </row>
    <row r="101" spans="1:15" x14ac:dyDescent="0.3">
      <c r="A101" s="70"/>
      <c r="B101" s="133" t="s">
        <v>56</v>
      </c>
      <c r="C101" s="150"/>
      <c r="D101" s="150"/>
      <c r="E101" s="150"/>
      <c r="F101" s="150"/>
      <c r="G101" s="150"/>
      <c r="H101" s="150"/>
      <c r="I101" s="150"/>
      <c r="J101" s="230"/>
    </row>
    <row r="102" spans="1:15" x14ac:dyDescent="0.3">
      <c r="A102" s="67">
        <v>104</v>
      </c>
      <c r="B102" s="71" t="s">
        <v>30</v>
      </c>
      <c r="C102" s="145">
        <f>'26-27'!C102*1.015</f>
        <v>114187.49999999999</v>
      </c>
      <c r="D102" s="143"/>
      <c r="E102" s="143"/>
      <c r="F102" s="143"/>
      <c r="G102" s="143"/>
      <c r="H102" s="143"/>
      <c r="I102" s="143">
        <f>SUM(C102:H102)</f>
        <v>114187.49999999999</v>
      </c>
      <c r="J102" s="225"/>
    </row>
    <row r="103" spans="1:15" x14ac:dyDescent="0.3">
      <c r="A103" s="67">
        <v>104</v>
      </c>
      <c r="B103" s="71" t="s">
        <v>57</v>
      </c>
      <c r="C103" s="145">
        <f>'26-27'!C103*1.015</f>
        <v>78812.21249999998</v>
      </c>
      <c r="D103" s="143"/>
      <c r="E103" s="143"/>
      <c r="F103" s="143"/>
      <c r="G103" s="143"/>
      <c r="H103" s="143"/>
      <c r="I103" s="143">
        <f t="shared" ref="I103:I114" si="43">SUM(C103:H103)</f>
        <v>78812.21249999998</v>
      </c>
      <c r="J103" s="225"/>
    </row>
    <row r="104" spans="1:15" x14ac:dyDescent="0.3">
      <c r="A104" s="67">
        <v>105</v>
      </c>
      <c r="B104" s="71" t="s">
        <v>415</v>
      </c>
      <c r="C104" s="145">
        <f>'26-27'!C104*1.015</f>
        <v>0</v>
      </c>
      <c r="D104" s="143">
        <f>'26-27'!D104*1.015</f>
        <v>59753.049999999988</v>
      </c>
      <c r="E104" s="143"/>
      <c r="F104" s="143"/>
      <c r="G104" s="143"/>
      <c r="H104" s="143"/>
      <c r="I104" s="143">
        <f t="shared" si="43"/>
        <v>59753.049999999988</v>
      </c>
      <c r="J104" s="225"/>
    </row>
    <row r="105" spans="1:15" x14ac:dyDescent="0.3">
      <c r="A105" s="67">
        <v>105</v>
      </c>
      <c r="B105" s="470" t="s">
        <v>417</v>
      </c>
      <c r="C105" s="143">
        <f>'26-27'!C105*1.015</f>
        <v>0</v>
      </c>
      <c r="D105" s="143">
        <f>'26-27'!D105*1.015</f>
        <v>53592.304499999991</v>
      </c>
      <c r="E105" s="143"/>
      <c r="F105" s="143"/>
      <c r="G105" s="143"/>
      <c r="H105" s="143"/>
      <c r="I105" s="143">
        <f t="shared" si="43"/>
        <v>53592.304499999991</v>
      </c>
      <c r="J105" s="225"/>
    </row>
    <row r="106" spans="1:15" x14ac:dyDescent="0.3">
      <c r="A106" s="67">
        <v>105</v>
      </c>
      <c r="B106" s="471" t="s">
        <v>413</v>
      </c>
      <c r="C106" s="143">
        <f>'26-27'!C106*1.015</f>
        <v>0</v>
      </c>
      <c r="D106" s="143">
        <f>'26-27'!D106*1.015</f>
        <v>69669.995849999992</v>
      </c>
      <c r="E106" s="143"/>
      <c r="F106" s="143"/>
      <c r="G106" s="143"/>
      <c r="H106" s="143"/>
      <c r="I106" s="143">
        <f t="shared" si="43"/>
        <v>69669.995849999992</v>
      </c>
      <c r="J106" s="225"/>
    </row>
    <row r="107" spans="1:15" x14ac:dyDescent="0.3">
      <c r="A107" s="67">
        <v>105</v>
      </c>
      <c r="B107" s="71" t="s">
        <v>425</v>
      </c>
      <c r="C107" s="143">
        <f>'26-27'!C107*1.015</f>
        <v>0</v>
      </c>
      <c r="D107" s="143"/>
      <c r="E107" s="143"/>
      <c r="F107" s="143"/>
      <c r="G107" s="143">
        <f>'26-27'!G107*1.015</f>
        <v>61473.525749999986</v>
      </c>
      <c r="H107" s="143"/>
      <c r="I107" s="143">
        <f t="shared" si="43"/>
        <v>61473.525749999986</v>
      </c>
      <c r="J107" s="225"/>
      <c r="N107" s="250"/>
      <c r="O107" s="250"/>
    </row>
    <row r="108" spans="1:15" x14ac:dyDescent="0.3">
      <c r="A108" s="67" t="s">
        <v>58</v>
      </c>
      <c r="B108" s="71" t="s">
        <v>59</v>
      </c>
      <c r="C108" s="143">
        <f>(55000)*(C37-C30)</f>
        <v>1347500</v>
      </c>
      <c r="D108" s="143"/>
      <c r="E108" s="143"/>
      <c r="F108" s="143"/>
      <c r="G108" s="143"/>
      <c r="H108" s="143"/>
      <c r="I108" s="143">
        <f t="shared" si="43"/>
        <v>1347500</v>
      </c>
      <c r="J108" s="226"/>
      <c r="K108" s="221"/>
      <c r="L108" s="221"/>
      <c r="M108" s="221"/>
      <c r="N108" s="221"/>
      <c r="O108" s="221"/>
    </row>
    <row r="109" spans="1:15" x14ac:dyDescent="0.3">
      <c r="A109" s="67">
        <v>101</v>
      </c>
      <c r="B109" s="71" t="s">
        <v>20</v>
      </c>
      <c r="C109" s="143">
        <f>(42500+750+750+750+750+750)*C30</f>
        <v>0</v>
      </c>
      <c r="D109" s="143">
        <f t="shared" ref="D109" si="44">(42500+750+750+750+750+750)*D30</f>
        <v>0</v>
      </c>
      <c r="E109" s="143">
        <f>(55000)*E30</f>
        <v>192500</v>
      </c>
      <c r="F109" s="143">
        <f t="shared" ref="F109:G109" si="45">42500*F30</f>
        <v>0</v>
      </c>
      <c r="G109" s="143">
        <f t="shared" si="45"/>
        <v>0</v>
      </c>
      <c r="H109" s="143"/>
      <c r="I109" s="143">
        <f t="shared" si="43"/>
        <v>192500</v>
      </c>
      <c r="J109" s="226"/>
      <c r="K109" s="364"/>
      <c r="L109" s="364"/>
      <c r="M109" s="364"/>
      <c r="N109" s="364"/>
      <c r="O109" s="364"/>
    </row>
    <row r="110" spans="1:15" x14ac:dyDescent="0.3">
      <c r="A110" s="67">
        <v>107</v>
      </c>
      <c r="B110" s="71" t="s">
        <v>60</v>
      </c>
      <c r="C110" s="143">
        <f>'26-27'!C110*1.015+22500</f>
        <v>90915.447598049985</v>
      </c>
      <c r="D110" s="143"/>
      <c r="E110" s="143"/>
      <c r="F110" s="143"/>
      <c r="G110" s="143"/>
      <c r="H110" s="143"/>
      <c r="I110" s="143">
        <f t="shared" si="43"/>
        <v>90915.447598049985</v>
      </c>
      <c r="J110" s="168"/>
    </row>
    <row r="111" spans="1:15" x14ac:dyDescent="0.3">
      <c r="A111" s="67">
        <v>107</v>
      </c>
      <c r="B111" s="71" t="s">
        <v>61</v>
      </c>
      <c r="C111" s="143">
        <f>(15.25*8*190)*(C48+C49)</f>
        <v>46360</v>
      </c>
      <c r="D111" s="143">
        <f t="shared" ref="D111:F111" si="46">(13.75*8*190)*(D48+D49)</f>
        <v>0</v>
      </c>
      <c r="E111" s="143">
        <f t="shared" si="46"/>
        <v>0</v>
      </c>
      <c r="F111" s="143">
        <f t="shared" si="46"/>
        <v>0</v>
      </c>
      <c r="G111" s="143"/>
      <c r="H111" s="143"/>
      <c r="I111" s="143">
        <f t="shared" si="43"/>
        <v>46360</v>
      </c>
      <c r="J111" s="226"/>
      <c r="L111" s="221"/>
      <c r="M111" s="221"/>
      <c r="N111" s="221"/>
      <c r="O111" s="221"/>
    </row>
    <row r="112" spans="1:15" x14ac:dyDescent="0.3">
      <c r="A112" s="67">
        <v>102</v>
      </c>
      <c r="B112" s="71" t="s">
        <v>426</v>
      </c>
      <c r="C112" s="143">
        <f>(15.25*8*180)*C50</f>
        <v>0</v>
      </c>
      <c r="D112" s="143">
        <f t="shared" ref="D112:G112" si="47">(15.25*8*180)*D50</f>
        <v>0</v>
      </c>
      <c r="E112" s="143">
        <f t="shared" si="47"/>
        <v>21960</v>
      </c>
      <c r="F112" s="143">
        <f t="shared" si="47"/>
        <v>0</v>
      </c>
      <c r="G112" s="143">
        <f t="shared" si="47"/>
        <v>65880</v>
      </c>
      <c r="H112" s="143"/>
      <c r="I112" s="143">
        <f t="shared" si="43"/>
        <v>87840</v>
      </c>
      <c r="J112" s="226"/>
    </row>
    <row r="113" spans="1:15" x14ac:dyDescent="0.3">
      <c r="A113" s="67">
        <v>107</v>
      </c>
      <c r="B113" s="410" t="s">
        <v>457</v>
      </c>
      <c r="C113" s="143">
        <f>(16.5*8*240)*C51</f>
        <v>31680</v>
      </c>
      <c r="D113" s="143"/>
      <c r="E113" s="143"/>
      <c r="F113" s="143"/>
      <c r="G113" s="143"/>
      <c r="H113" s="143"/>
      <c r="I113" s="143">
        <f t="shared" si="43"/>
        <v>31680</v>
      </c>
      <c r="J113" s="226"/>
    </row>
    <row r="114" spans="1:15" x14ac:dyDescent="0.3">
      <c r="A114" s="67">
        <v>107</v>
      </c>
      <c r="B114" s="71" t="s">
        <v>64</v>
      </c>
      <c r="C114" s="143"/>
      <c r="D114" s="143"/>
      <c r="E114" s="143"/>
      <c r="F114" s="143"/>
      <c r="G114" s="143"/>
      <c r="H114" s="143"/>
      <c r="I114" s="143">
        <f t="shared" si="43"/>
        <v>0</v>
      </c>
      <c r="J114" s="226"/>
    </row>
    <row r="115" spans="1:15" ht="15" thickBot="1" x14ac:dyDescent="0.35">
      <c r="A115" s="63"/>
      <c r="B115" s="516" t="s">
        <v>443</v>
      </c>
      <c r="C115" s="517">
        <f>SUM(C102:C114)</f>
        <v>1709455.1600980498</v>
      </c>
      <c r="D115" s="517">
        <f t="shared" ref="D115:I115" si="48">SUM(D102:D114)</f>
        <v>183015.35034999996</v>
      </c>
      <c r="E115" s="517">
        <f t="shared" si="48"/>
        <v>214460</v>
      </c>
      <c r="F115" s="517">
        <f t="shared" si="48"/>
        <v>0</v>
      </c>
      <c r="G115" s="517">
        <f t="shared" si="48"/>
        <v>127353.52574999999</v>
      </c>
      <c r="H115" s="517">
        <f t="shared" si="48"/>
        <v>0</v>
      </c>
      <c r="I115" s="517">
        <f t="shared" si="48"/>
        <v>2234284.0361980498</v>
      </c>
      <c r="J115" s="236"/>
    </row>
    <row r="116" spans="1:15" x14ac:dyDescent="0.3">
      <c r="A116" s="70"/>
      <c r="B116" s="135" t="s">
        <v>66</v>
      </c>
      <c r="C116" s="150" t="str">
        <f t="shared" ref="C116:I116" si="49">C1</f>
        <v>Operating</v>
      </c>
      <c r="D116" s="150" t="str">
        <f t="shared" si="49"/>
        <v>Weights</v>
      </c>
      <c r="E116" s="150" t="str">
        <f t="shared" si="49"/>
        <v>SPED</v>
      </c>
      <c r="F116" s="150" t="str">
        <f t="shared" si="49"/>
        <v>NSLP</v>
      </c>
      <c r="G116" s="150" t="str">
        <f t="shared" si="49"/>
        <v>Title 1</v>
      </c>
      <c r="H116" s="150" t="str">
        <f t="shared" si="49"/>
        <v>Title 2</v>
      </c>
      <c r="I116" s="150" t="str">
        <f t="shared" si="49"/>
        <v>Total</v>
      </c>
      <c r="J116" s="230"/>
    </row>
    <row r="117" spans="1:15" hidden="1" x14ac:dyDescent="0.3">
      <c r="A117" s="67"/>
      <c r="B117" s="71" t="s">
        <v>67</v>
      </c>
      <c r="C117" s="143"/>
      <c r="D117" s="143"/>
      <c r="E117" s="143"/>
      <c r="F117" s="143"/>
      <c r="G117" s="143"/>
      <c r="H117" s="143"/>
      <c r="I117" s="143">
        <f>SUM(C117:H117)</f>
        <v>0</v>
      </c>
      <c r="J117" s="225"/>
    </row>
    <row r="118" spans="1:15" x14ac:dyDescent="0.3">
      <c r="A118" s="67"/>
      <c r="B118" s="71" t="s">
        <v>37</v>
      </c>
      <c r="C118" s="143"/>
      <c r="D118" s="143"/>
      <c r="E118" s="143"/>
      <c r="F118" s="143"/>
      <c r="G118" s="143"/>
      <c r="H118" s="143"/>
      <c r="I118" s="143">
        <f t="shared" ref="I118:I126" si="50">SUM(C118:H118)</f>
        <v>0</v>
      </c>
      <c r="J118" s="225"/>
    </row>
    <row r="119" spans="1:15" x14ac:dyDescent="0.3">
      <c r="A119" s="67"/>
      <c r="B119" s="71" t="s">
        <v>38</v>
      </c>
      <c r="C119" s="143"/>
      <c r="D119" s="143"/>
      <c r="E119" s="143"/>
      <c r="F119" s="143"/>
      <c r="G119" s="143"/>
      <c r="H119" s="143"/>
      <c r="I119" s="143">
        <f t="shared" si="50"/>
        <v>0</v>
      </c>
      <c r="J119" s="225"/>
    </row>
    <row r="120" spans="1:15" x14ac:dyDescent="0.3">
      <c r="A120" s="67"/>
      <c r="B120" s="71" t="s">
        <v>39</v>
      </c>
      <c r="C120" s="143"/>
      <c r="D120" s="143"/>
      <c r="E120" s="143"/>
      <c r="F120" s="143"/>
      <c r="G120" s="143"/>
      <c r="H120" s="143"/>
      <c r="I120" s="143">
        <f t="shared" si="50"/>
        <v>0</v>
      </c>
      <c r="J120" s="225"/>
    </row>
    <row r="121" spans="1:15" x14ac:dyDescent="0.3">
      <c r="A121" s="67"/>
      <c r="B121" s="71" t="s">
        <v>40</v>
      </c>
      <c r="C121" s="143"/>
      <c r="D121" s="143"/>
      <c r="E121" s="143"/>
      <c r="F121" s="143"/>
      <c r="G121" s="143"/>
      <c r="H121" s="143"/>
      <c r="I121" s="143">
        <f t="shared" si="50"/>
        <v>0</v>
      </c>
      <c r="J121" s="225"/>
    </row>
    <row r="122" spans="1:15" x14ac:dyDescent="0.3">
      <c r="A122" s="67"/>
      <c r="B122" s="71" t="s">
        <v>68</v>
      </c>
      <c r="C122" s="143"/>
      <c r="D122" s="143"/>
      <c r="E122" s="143"/>
      <c r="F122" s="143"/>
      <c r="G122" s="143"/>
      <c r="H122" s="143"/>
      <c r="I122" s="143">
        <f t="shared" si="50"/>
        <v>0</v>
      </c>
      <c r="J122" s="225"/>
    </row>
    <row r="123" spans="1:15" x14ac:dyDescent="0.3">
      <c r="A123" s="67"/>
      <c r="B123" s="71" t="s">
        <v>50</v>
      </c>
      <c r="C123" s="143">
        <v>0</v>
      </c>
      <c r="D123" s="143"/>
      <c r="E123" s="143"/>
      <c r="F123" s="143"/>
      <c r="G123" s="143"/>
      <c r="H123" s="143"/>
      <c r="I123" s="143">
        <f t="shared" si="50"/>
        <v>0</v>
      </c>
      <c r="J123" s="225"/>
    </row>
    <row r="124" spans="1:15" x14ac:dyDescent="0.3">
      <c r="A124" s="67"/>
      <c r="B124" s="410" t="s">
        <v>173</v>
      </c>
      <c r="C124" s="143"/>
      <c r="D124" s="143"/>
      <c r="E124" s="143"/>
      <c r="F124" s="143"/>
      <c r="G124" s="143"/>
      <c r="H124" s="143"/>
      <c r="I124" s="143"/>
      <c r="J124" s="225"/>
    </row>
    <row r="125" spans="1:15" x14ac:dyDescent="0.3">
      <c r="A125" s="67">
        <v>107</v>
      </c>
      <c r="B125" s="71" t="s">
        <v>69</v>
      </c>
      <c r="C125" s="145">
        <f>(13.5*8*185)*C52</f>
        <v>0</v>
      </c>
      <c r="D125" s="145">
        <f t="shared" ref="D125:E125" si="51">(13.5*8*185)*D52</f>
        <v>0</v>
      </c>
      <c r="E125" s="145">
        <f t="shared" si="51"/>
        <v>0</v>
      </c>
      <c r="F125" s="145">
        <f>(15.25*8*185)*F52</f>
        <v>22570</v>
      </c>
      <c r="G125" s="143"/>
      <c r="H125" s="143"/>
      <c r="I125" s="143">
        <f t="shared" si="50"/>
        <v>22570</v>
      </c>
      <c r="J125" s="225"/>
    </row>
    <row r="126" spans="1:15" x14ac:dyDescent="0.3">
      <c r="A126" s="74"/>
      <c r="B126" s="71" t="s">
        <v>70</v>
      </c>
      <c r="C126" s="153">
        <v>0</v>
      </c>
      <c r="D126" s="143"/>
      <c r="E126" s="143"/>
      <c r="F126" s="143"/>
      <c r="G126" s="143"/>
      <c r="H126" s="143"/>
      <c r="I126" s="143">
        <f t="shared" si="50"/>
        <v>0</v>
      </c>
      <c r="J126" s="225"/>
    </row>
    <row r="127" spans="1:15" ht="15" thickBot="1" x14ac:dyDescent="0.35">
      <c r="A127" s="63"/>
      <c r="B127" s="520" t="s">
        <v>444</v>
      </c>
      <c r="C127" s="519">
        <f>SUM(C117:C126)</f>
        <v>0</v>
      </c>
      <c r="D127" s="519">
        <f t="shared" ref="D127:I127" si="52">SUM(D117:D126)</f>
        <v>0</v>
      </c>
      <c r="E127" s="519">
        <f t="shared" si="52"/>
        <v>0</v>
      </c>
      <c r="F127" s="519">
        <f t="shared" si="52"/>
        <v>22570</v>
      </c>
      <c r="G127" s="519">
        <f t="shared" si="52"/>
        <v>0</v>
      </c>
      <c r="H127" s="519">
        <f t="shared" si="52"/>
        <v>0</v>
      </c>
      <c r="I127" s="519">
        <f t="shared" si="52"/>
        <v>22570</v>
      </c>
      <c r="J127" s="236"/>
    </row>
    <row r="128" spans="1:15" ht="15" thickBot="1" x14ac:dyDescent="0.35">
      <c r="A128" s="91"/>
      <c r="B128" s="521" t="s">
        <v>445</v>
      </c>
      <c r="C128" s="483">
        <f>C115+C127</f>
        <v>1709455.1600980498</v>
      </c>
      <c r="D128" s="483">
        <f t="shared" ref="D128:I128" si="53">D115+D127</f>
        <v>183015.35034999996</v>
      </c>
      <c r="E128" s="483">
        <f t="shared" si="53"/>
        <v>214460</v>
      </c>
      <c r="F128" s="483">
        <f t="shared" si="53"/>
        <v>22570</v>
      </c>
      <c r="G128" s="483">
        <f t="shared" si="53"/>
        <v>127353.52574999999</v>
      </c>
      <c r="H128" s="483">
        <f t="shared" si="53"/>
        <v>0</v>
      </c>
      <c r="I128" s="483">
        <f t="shared" si="53"/>
        <v>2256854.0361980498</v>
      </c>
      <c r="J128" s="225"/>
      <c r="K128" s="223">
        <f t="shared" ref="K128:O128" si="54">SUM(K129:K130)</f>
        <v>0.47249999999999998</v>
      </c>
      <c r="L128" s="223">
        <f t="shared" si="54"/>
        <v>0.47749999999999998</v>
      </c>
      <c r="M128" s="223">
        <f t="shared" si="54"/>
        <v>0.48249999999999998</v>
      </c>
      <c r="N128" s="223">
        <f t="shared" si="54"/>
        <v>0.48749999999999999</v>
      </c>
      <c r="O128" s="223">
        <f t="shared" si="54"/>
        <v>0.49249999999999999</v>
      </c>
    </row>
    <row r="129" spans="1:15" x14ac:dyDescent="0.3">
      <c r="A129" s="78">
        <v>230</v>
      </c>
      <c r="B129" s="71" t="s">
        <v>340</v>
      </c>
      <c r="C129" s="157">
        <f t="shared" ref="C129:H129" si="55">C128*0.2975</f>
        <v>508562.91012916982</v>
      </c>
      <c r="D129" s="157">
        <f t="shared" si="55"/>
        <v>54447.066729124985</v>
      </c>
      <c r="E129" s="157">
        <f t="shared" si="55"/>
        <v>63801.85</v>
      </c>
      <c r="F129" s="157">
        <f t="shared" si="55"/>
        <v>6714.5749999999998</v>
      </c>
      <c r="G129" s="157">
        <f t="shared" si="55"/>
        <v>37887.673910624995</v>
      </c>
      <c r="H129" s="157">
        <f t="shared" si="55"/>
        <v>0</v>
      </c>
      <c r="I129" s="143">
        <f>SUM(C129:H129)</f>
        <v>671414.07576891978</v>
      </c>
      <c r="J129" s="225"/>
      <c r="K129" s="223">
        <v>0.29249999999999998</v>
      </c>
      <c r="L129" s="223">
        <f>K129</f>
        <v>0.29249999999999998</v>
      </c>
      <c r="M129" s="223">
        <f>L129</f>
        <v>0.29249999999999998</v>
      </c>
      <c r="N129" s="223">
        <f>M129</f>
        <v>0.29249999999999998</v>
      </c>
      <c r="O129" s="223">
        <f>N129</f>
        <v>0.29249999999999998</v>
      </c>
    </row>
    <row r="130" spans="1:15" x14ac:dyDescent="0.3">
      <c r="A130" s="94"/>
      <c r="B130" s="71" t="s">
        <v>73</v>
      </c>
      <c r="C130" s="143">
        <f>C128*0.205</f>
        <v>350438.30782010016</v>
      </c>
      <c r="D130" s="143">
        <f t="shared" ref="D130:H130" si="56">D128*0.205</f>
        <v>37518.146821749993</v>
      </c>
      <c r="E130" s="143">
        <f t="shared" si="56"/>
        <v>43964.299999999996</v>
      </c>
      <c r="F130" s="143">
        <f t="shared" si="56"/>
        <v>4626.8499999999995</v>
      </c>
      <c r="G130" s="143">
        <f t="shared" si="56"/>
        <v>26107.472778749994</v>
      </c>
      <c r="H130" s="143">
        <f t="shared" si="56"/>
        <v>0</v>
      </c>
      <c r="I130" s="143">
        <f t="shared" ref="I130:I134" si="57">SUM(C130:H130)</f>
        <v>462655.07742060011</v>
      </c>
      <c r="J130" s="225"/>
      <c r="K130" s="223">
        <v>0.18</v>
      </c>
      <c r="L130" s="223">
        <f>K130+0.5%</f>
        <v>0.185</v>
      </c>
      <c r="M130" s="223">
        <f>L130+0.5%</f>
        <v>0.19</v>
      </c>
      <c r="N130" s="223">
        <f>M130+0.5%</f>
        <v>0.19500000000000001</v>
      </c>
      <c r="O130" s="223">
        <f>N130+0.5%</f>
        <v>0.2</v>
      </c>
    </row>
    <row r="131" spans="1:15" x14ac:dyDescent="0.3">
      <c r="A131" s="67">
        <v>150</v>
      </c>
      <c r="B131" s="71" t="s">
        <v>74</v>
      </c>
      <c r="C131" s="142">
        <f>((((2500*C41)+(125*C41))+((2000*C42)+(125*C42))+((1500*(C43+C44+C45))+(125*(C43+C44+C45)))+(1000*(C46+C47))+(125*(C46+C47))+((300*(C48+C49+C50+C51+C52)+(125*(C48+C49+C50+C51+C52)))+((1000*(C37+C53+C54+C55+C56+C58))+(125*(C37+C53+C54+C55+C56+C58))))+(125*3)+(1000*3))*0.93)-C132</f>
        <v>37978.875</v>
      </c>
      <c r="D131" s="142">
        <f t="shared" ref="D131:H131" si="58">((((2500*D41)+(125*D41))+((2000*D42)+(125*D42))+((1500*(D43+D44+D45))+(125*(D43+D44+D45)))+(1000*(D46+D47))+(125*(D46+D47))+((300*(D48+D49+D50+D51+D52)+(125*(D48+D49+D50+D51+D52)))+((1000*(D37+D53+D54+D55+D56+D58))+(125*(D37+D53+D54+D55+D56+D58))))+(125*3)+(1000*3))*0.93)-D132</f>
        <v>5696.25</v>
      </c>
      <c r="E131" s="142">
        <f>((((2500*E41)+(125*E41))+((2000*E42)+(125*E42))+((1500*(E43+E44+E45))+(125*(E43+E44+E45)))+(1000*(E46+E47))+(125*(E46+E47))+((300*(E48+E49+E50+E51+E52)+(125*(E48+E49+E50+E51+E52)))+((1000*(E37+E53+E54+E55+E56+E58))+(125*(E37+E53+E54+E55+E56+E58))))+(125*3)+(1000*3))*0.93)-E132</f>
        <v>7195.875</v>
      </c>
      <c r="F131" s="142">
        <f t="shared" si="58"/>
        <v>3534</v>
      </c>
      <c r="G131" s="142">
        <v>0</v>
      </c>
      <c r="H131" s="142">
        <f t="shared" si="58"/>
        <v>3138.75</v>
      </c>
      <c r="I131" s="143">
        <f t="shared" si="57"/>
        <v>57543.75</v>
      </c>
      <c r="J131" s="225"/>
    </row>
    <row r="132" spans="1:15" x14ac:dyDescent="0.3">
      <c r="A132" s="67"/>
      <c r="B132" s="71" t="s">
        <v>75</v>
      </c>
      <c r="C132" s="143">
        <v>0</v>
      </c>
      <c r="D132" s="145"/>
      <c r="E132" s="145"/>
      <c r="F132" s="145"/>
      <c r="G132" s="145"/>
      <c r="H132" s="145"/>
      <c r="I132" s="143">
        <f t="shared" si="57"/>
        <v>0</v>
      </c>
      <c r="J132" s="225"/>
    </row>
    <row r="133" spans="1:15" x14ac:dyDescent="0.3">
      <c r="A133" s="67">
        <v>250</v>
      </c>
      <c r="B133" s="71" t="s">
        <v>76</v>
      </c>
      <c r="C133" s="145">
        <f>1800*3.5</f>
        <v>6300</v>
      </c>
      <c r="D133" s="145"/>
      <c r="E133" s="145"/>
      <c r="F133" s="145"/>
      <c r="G133" s="145"/>
      <c r="H133" s="145"/>
      <c r="I133" s="143">
        <f t="shared" si="57"/>
        <v>6300</v>
      </c>
      <c r="J133" s="225"/>
    </row>
    <row r="134" spans="1:15" ht="15" thickBot="1" x14ac:dyDescent="0.35">
      <c r="A134" s="74"/>
      <c r="B134" s="71" t="s">
        <v>77</v>
      </c>
      <c r="C134" s="153">
        <f>(175*10*C37)-C126</f>
        <v>42875</v>
      </c>
      <c r="D134" s="153">
        <f t="shared" ref="D134:H134" si="59">(175*10*D37)-D126</f>
        <v>0</v>
      </c>
      <c r="E134" s="153">
        <f t="shared" si="59"/>
        <v>6125</v>
      </c>
      <c r="F134" s="153">
        <f t="shared" si="59"/>
        <v>0</v>
      </c>
      <c r="G134" s="153">
        <f t="shared" si="59"/>
        <v>0</v>
      </c>
      <c r="H134" s="153">
        <f t="shared" si="59"/>
        <v>0</v>
      </c>
      <c r="I134" s="143">
        <f t="shared" si="57"/>
        <v>49000</v>
      </c>
      <c r="J134" s="225"/>
    </row>
    <row r="135" spans="1:15" ht="15" thickBot="1" x14ac:dyDescent="0.35">
      <c r="A135" s="95"/>
      <c r="B135" s="522" t="s">
        <v>446</v>
      </c>
      <c r="C135" s="523">
        <f>SUM(C129:C134)</f>
        <v>946155.09294927004</v>
      </c>
      <c r="D135" s="523">
        <f t="shared" ref="D135:I135" si="60">SUM(D129:D134)</f>
        <v>97661.463550874978</v>
      </c>
      <c r="E135" s="523">
        <f t="shared" si="60"/>
        <v>121087.02499999999</v>
      </c>
      <c r="F135" s="523">
        <f t="shared" si="60"/>
        <v>14875.424999999999</v>
      </c>
      <c r="G135" s="523">
        <f t="shared" si="60"/>
        <v>63995.146689374989</v>
      </c>
      <c r="H135" s="523">
        <f t="shared" si="60"/>
        <v>3138.75</v>
      </c>
      <c r="I135" s="523">
        <f t="shared" si="60"/>
        <v>1246912.9031895199</v>
      </c>
      <c r="J135" s="225"/>
    </row>
    <row r="136" spans="1:15" ht="15" thickBot="1" x14ac:dyDescent="0.35">
      <c r="A136" s="482"/>
      <c r="B136" s="524" t="s">
        <v>78</v>
      </c>
      <c r="C136" s="483">
        <f>C128+C135</f>
        <v>2655610.2530473201</v>
      </c>
      <c r="D136" s="483">
        <f t="shared" ref="D136:I136" si="61">D128+D135</f>
        <v>280676.81390087493</v>
      </c>
      <c r="E136" s="483">
        <f t="shared" si="61"/>
        <v>335547.02500000002</v>
      </c>
      <c r="F136" s="483">
        <f t="shared" si="61"/>
        <v>37445.425000000003</v>
      </c>
      <c r="G136" s="483">
        <f t="shared" si="61"/>
        <v>191348.67243937496</v>
      </c>
      <c r="H136" s="483">
        <f t="shared" si="61"/>
        <v>3138.75</v>
      </c>
      <c r="I136" s="483">
        <f t="shared" si="61"/>
        <v>3503766.9393875697</v>
      </c>
      <c r="J136" s="225"/>
    </row>
    <row r="137" spans="1:15" x14ac:dyDescent="0.3">
      <c r="A137" s="98"/>
      <c r="B137" s="99" t="s">
        <v>79</v>
      </c>
      <c r="C137" s="150" t="str">
        <f t="shared" ref="C137:I137" si="62">C1</f>
        <v>Operating</v>
      </c>
      <c r="D137" s="150" t="str">
        <f t="shared" si="62"/>
        <v>Weights</v>
      </c>
      <c r="E137" s="150" t="str">
        <f t="shared" si="62"/>
        <v>SPED</v>
      </c>
      <c r="F137" s="150" t="str">
        <f t="shared" si="62"/>
        <v>NSLP</v>
      </c>
      <c r="G137" s="150" t="str">
        <f t="shared" si="62"/>
        <v>Title 1</v>
      </c>
      <c r="H137" s="150" t="str">
        <f t="shared" si="62"/>
        <v>Title 2</v>
      </c>
      <c r="I137" s="150" t="str">
        <f t="shared" si="62"/>
        <v>Total</v>
      </c>
      <c r="J137" s="230"/>
    </row>
    <row r="138" spans="1:15" x14ac:dyDescent="0.3">
      <c r="A138" s="94"/>
      <c r="B138" s="100" t="s">
        <v>80</v>
      </c>
      <c r="C138" s="143">
        <f>140*C19</f>
        <v>84000</v>
      </c>
      <c r="D138" s="145"/>
      <c r="E138" s="145"/>
      <c r="F138" s="145"/>
      <c r="G138" s="145"/>
      <c r="H138" s="145"/>
      <c r="I138" s="143">
        <f>SUM(C138:H138)</f>
        <v>84000</v>
      </c>
      <c r="J138" s="225"/>
    </row>
    <row r="139" spans="1:15" hidden="1" x14ac:dyDescent="0.3">
      <c r="A139" s="94"/>
      <c r="B139" s="527" t="s">
        <v>435</v>
      </c>
      <c r="C139" s="143">
        <v>0</v>
      </c>
      <c r="D139" s="145"/>
      <c r="E139" s="145"/>
      <c r="F139" s="145"/>
      <c r="G139" s="145"/>
      <c r="H139" s="145"/>
      <c r="I139" s="143">
        <f t="shared" ref="I139:I147" si="63">SUM(C139:H139)</f>
        <v>0</v>
      </c>
      <c r="J139" s="225"/>
    </row>
    <row r="140" spans="1:15" x14ac:dyDescent="0.3">
      <c r="A140" s="94"/>
      <c r="B140" s="410" t="s">
        <v>461</v>
      </c>
      <c r="C140" s="145">
        <v>81000</v>
      </c>
      <c r="D140" s="145"/>
      <c r="E140" s="145"/>
      <c r="F140" s="145"/>
      <c r="G140" s="145"/>
      <c r="H140" s="145"/>
      <c r="I140" s="143">
        <f t="shared" si="63"/>
        <v>81000</v>
      </c>
      <c r="J140" s="225" t="s">
        <v>403</v>
      </c>
    </row>
    <row r="141" spans="1:15" x14ac:dyDescent="0.3">
      <c r="A141" s="94"/>
      <c r="B141" s="409" t="s">
        <v>437</v>
      </c>
      <c r="C141" s="145">
        <v>0</v>
      </c>
      <c r="D141" s="145"/>
      <c r="E141" s="145"/>
      <c r="F141" s="145"/>
      <c r="G141" s="145"/>
      <c r="H141" s="145"/>
      <c r="I141" s="143">
        <f t="shared" si="63"/>
        <v>0</v>
      </c>
      <c r="J141" s="225"/>
    </row>
    <row r="142" spans="1:15" x14ac:dyDescent="0.3">
      <c r="A142" s="67">
        <v>610</v>
      </c>
      <c r="B142" s="71" t="s">
        <v>83</v>
      </c>
      <c r="C142" s="143">
        <f>14*C19</f>
        <v>8400</v>
      </c>
      <c r="D142" s="145"/>
      <c r="E142" s="145"/>
      <c r="F142" s="145">
        <v>2000</v>
      </c>
      <c r="G142" s="145"/>
      <c r="H142" s="145"/>
      <c r="I142" s="143">
        <f t="shared" si="63"/>
        <v>10400</v>
      </c>
      <c r="J142" s="225"/>
    </row>
    <row r="143" spans="1:15" x14ac:dyDescent="0.3">
      <c r="A143" s="67">
        <v>610</v>
      </c>
      <c r="B143" s="71" t="s">
        <v>84</v>
      </c>
      <c r="C143" s="143">
        <f>29*C19</f>
        <v>17400</v>
      </c>
      <c r="D143" s="145"/>
      <c r="E143" s="145"/>
      <c r="F143" s="145"/>
      <c r="G143" s="145">
        <v>18500</v>
      </c>
      <c r="H143" s="145"/>
      <c r="I143" s="143">
        <f t="shared" si="63"/>
        <v>35900</v>
      </c>
      <c r="J143" s="225"/>
    </row>
    <row r="144" spans="1:15" x14ac:dyDescent="0.3">
      <c r="A144" s="67">
        <v>610</v>
      </c>
      <c r="B144" s="71" t="s">
        <v>85</v>
      </c>
      <c r="C144" s="143">
        <f>4.25*C19</f>
        <v>2550</v>
      </c>
      <c r="D144" s="145"/>
      <c r="E144" s="145"/>
      <c r="F144" s="145"/>
      <c r="G144" s="145"/>
      <c r="H144" s="145"/>
      <c r="I144" s="143">
        <f t="shared" si="63"/>
        <v>2550</v>
      </c>
      <c r="J144" s="225"/>
    </row>
    <row r="145" spans="1:17" x14ac:dyDescent="0.3">
      <c r="A145" s="67">
        <v>610</v>
      </c>
      <c r="B145" s="71" t="s">
        <v>86</v>
      </c>
      <c r="C145" s="143">
        <f>3.25*C19</f>
        <v>1950</v>
      </c>
      <c r="D145" s="145"/>
      <c r="E145" s="145"/>
      <c r="F145" s="145"/>
      <c r="G145" s="145"/>
      <c r="H145" s="145"/>
      <c r="I145" s="143">
        <f t="shared" si="63"/>
        <v>1950</v>
      </c>
      <c r="J145" s="225"/>
    </row>
    <row r="146" spans="1:17" x14ac:dyDescent="0.3">
      <c r="A146" s="67">
        <v>610</v>
      </c>
      <c r="B146" s="71" t="s">
        <v>87</v>
      </c>
      <c r="C146" s="143">
        <f>120*C22</f>
        <v>0</v>
      </c>
      <c r="D146" s="145"/>
      <c r="E146" s="145">
        <f>129*E22</f>
        <v>9288</v>
      </c>
      <c r="F146" s="145"/>
      <c r="G146" s="145"/>
      <c r="H146" s="145"/>
      <c r="I146" s="143">
        <f t="shared" si="63"/>
        <v>9288</v>
      </c>
      <c r="J146" s="225"/>
    </row>
    <row r="147" spans="1:17" ht="15" thickBot="1" x14ac:dyDescent="0.35">
      <c r="A147" s="102"/>
      <c r="B147" s="71" t="s">
        <v>88</v>
      </c>
      <c r="C147" s="153">
        <v>0</v>
      </c>
      <c r="D147" s="153"/>
      <c r="E147" s="153"/>
      <c r="F147" s="153"/>
      <c r="G147" s="153"/>
      <c r="H147" s="153"/>
      <c r="I147" s="143">
        <f t="shared" si="63"/>
        <v>0</v>
      </c>
      <c r="J147" s="225"/>
    </row>
    <row r="148" spans="1:17" s="222" customFormat="1" ht="15" thickBot="1" x14ac:dyDescent="0.35">
      <c r="A148" s="103"/>
      <c r="B148" s="528" t="s">
        <v>89</v>
      </c>
      <c r="C148" s="483">
        <f>SUM(C138:C147)</f>
        <v>195300</v>
      </c>
      <c r="D148" s="483">
        <f t="shared" ref="D148:I148" si="64">SUM(D138:D147)</f>
        <v>0</v>
      </c>
      <c r="E148" s="483">
        <f t="shared" si="64"/>
        <v>9288</v>
      </c>
      <c r="F148" s="483">
        <f t="shared" si="64"/>
        <v>2000</v>
      </c>
      <c r="G148" s="483">
        <f t="shared" si="64"/>
        <v>18500</v>
      </c>
      <c r="H148" s="483">
        <f t="shared" si="64"/>
        <v>0</v>
      </c>
      <c r="I148" s="483">
        <f t="shared" si="64"/>
        <v>225088</v>
      </c>
      <c r="J148" s="237"/>
    </row>
    <row r="149" spans="1:17" s="222" customFormat="1" ht="15" thickBot="1" x14ac:dyDescent="0.35">
      <c r="A149" s="107"/>
      <c r="B149" s="108" t="s">
        <v>90</v>
      </c>
      <c r="C149" s="162"/>
      <c r="D149" s="162"/>
      <c r="E149" s="162"/>
      <c r="F149" s="162"/>
      <c r="G149" s="162"/>
      <c r="H149" s="162"/>
      <c r="I149" s="162"/>
      <c r="J149" s="237"/>
    </row>
    <row r="150" spans="1:17" s="222" customFormat="1" x14ac:dyDescent="0.3">
      <c r="A150" s="78">
        <v>320</v>
      </c>
      <c r="B150" s="71" t="s">
        <v>91</v>
      </c>
      <c r="C150" s="163">
        <f>'26-27'!C150*1.03</f>
        <v>0</v>
      </c>
      <c r="D150" s="145">
        <f>12000*1.12</f>
        <v>13440.000000000002</v>
      </c>
      <c r="E150" s="145"/>
      <c r="F150" s="145"/>
      <c r="G150" s="145"/>
      <c r="H150" s="145"/>
      <c r="I150" s="143">
        <f>SUM(C150:H150)</f>
        <v>13440.000000000002</v>
      </c>
      <c r="J150" s="237"/>
      <c r="K150" s="219"/>
    </row>
    <row r="151" spans="1:17" x14ac:dyDescent="0.3">
      <c r="A151" s="67">
        <v>300</v>
      </c>
      <c r="B151" s="71" t="s">
        <v>92</v>
      </c>
      <c r="C151" s="145"/>
      <c r="D151" s="143"/>
      <c r="E151" s="143">
        <f>285*C19</f>
        <v>171000</v>
      </c>
      <c r="F151" s="143"/>
      <c r="G151" s="143"/>
      <c r="H151" s="143"/>
      <c r="I151" s="143">
        <f t="shared" ref="I151:I162" si="65">SUM(C151:H151)</f>
        <v>171000</v>
      </c>
      <c r="J151" s="225"/>
    </row>
    <row r="152" spans="1:17" x14ac:dyDescent="0.3">
      <c r="A152" s="67">
        <v>310</v>
      </c>
      <c r="B152" s="71" t="s">
        <v>347</v>
      </c>
      <c r="C152" s="145">
        <v>0</v>
      </c>
      <c r="D152" s="143"/>
      <c r="E152" s="143"/>
      <c r="F152" s="143"/>
      <c r="G152" s="143"/>
      <c r="H152" s="143"/>
      <c r="I152" s="143">
        <f t="shared" si="65"/>
        <v>0</v>
      </c>
      <c r="J152" s="225"/>
      <c r="K152" s="259"/>
      <c r="L152" s="259"/>
      <c r="M152" s="259"/>
      <c r="N152" s="259"/>
      <c r="O152" s="259"/>
    </row>
    <row r="153" spans="1:17" x14ac:dyDescent="0.3">
      <c r="A153" s="67">
        <v>310</v>
      </c>
      <c r="B153" s="71" t="s">
        <v>224</v>
      </c>
      <c r="C153" s="145">
        <f>450*C19</f>
        <v>270000</v>
      </c>
      <c r="D153" s="143"/>
      <c r="E153" s="143"/>
      <c r="F153" s="143"/>
      <c r="G153" s="143"/>
      <c r="H153" s="143"/>
      <c r="I153" s="143">
        <f t="shared" si="65"/>
        <v>270000</v>
      </c>
      <c r="J153" s="225"/>
      <c r="K153" s="259"/>
      <c r="L153" s="259"/>
      <c r="M153" s="259"/>
      <c r="N153" s="259"/>
      <c r="O153" s="259"/>
      <c r="Q153" s="365"/>
    </row>
    <row r="154" spans="1:17" x14ac:dyDescent="0.3">
      <c r="A154" s="67">
        <v>310</v>
      </c>
      <c r="B154" s="71" t="s">
        <v>93</v>
      </c>
      <c r="C154" s="145">
        <f>(240*C64)+1500</f>
        <v>9300</v>
      </c>
      <c r="D154" s="143">
        <f>(240*D64)</f>
        <v>480</v>
      </c>
      <c r="E154" s="143">
        <f>(240*E64)</f>
        <v>1080</v>
      </c>
      <c r="F154" s="143">
        <f>(240*F64)</f>
        <v>240</v>
      </c>
      <c r="G154" s="143">
        <f>(240*G64)</f>
        <v>960</v>
      </c>
      <c r="H154" s="143"/>
      <c r="I154" s="143">
        <f t="shared" si="65"/>
        <v>12060</v>
      </c>
      <c r="J154" s="225"/>
      <c r="K154" s="167"/>
      <c r="L154" s="167"/>
      <c r="M154" s="167"/>
      <c r="N154" s="167"/>
      <c r="O154" s="167"/>
    </row>
    <row r="155" spans="1:17" x14ac:dyDescent="0.3">
      <c r="A155" s="67">
        <v>340</v>
      </c>
      <c r="B155" s="71" t="s">
        <v>94</v>
      </c>
      <c r="C155" s="163">
        <f>'26-27'!C155*1.05</f>
        <v>24310.125</v>
      </c>
      <c r="D155" s="143"/>
      <c r="E155" s="143"/>
      <c r="F155" s="143"/>
      <c r="G155" s="143"/>
      <c r="H155" s="143"/>
      <c r="I155" s="143">
        <f t="shared" si="65"/>
        <v>24310.125</v>
      </c>
      <c r="J155" s="225"/>
    </row>
    <row r="156" spans="1:17" x14ac:dyDescent="0.3">
      <c r="A156" s="67">
        <v>340</v>
      </c>
      <c r="B156" s="71" t="s">
        <v>95</v>
      </c>
      <c r="C156" s="145">
        <v>5000</v>
      </c>
      <c r="D156" s="143"/>
      <c r="E156" s="143"/>
      <c r="F156" s="143"/>
      <c r="G156" s="143"/>
      <c r="H156" s="143"/>
      <c r="I156" s="143">
        <f t="shared" si="65"/>
        <v>5000</v>
      </c>
      <c r="J156" s="225"/>
    </row>
    <row r="157" spans="1:17" x14ac:dyDescent="0.3">
      <c r="A157" s="67">
        <v>352</v>
      </c>
      <c r="B157" s="71" t="s">
        <v>96</v>
      </c>
      <c r="C157" s="145">
        <f>45*C19</f>
        <v>27000</v>
      </c>
      <c r="D157" s="143"/>
      <c r="E157" s="143"/>
      <c r="F157" s="143"/>
      <c r="G157" s="143"/>
      <c r="H157" s="143"/>
      <c r="I157" s="143">
        <f t="shared" si="65"/>
        <v>27000</v>
      </c>
      <c r="J157" s="225"/>
    </row>
    <row r="158" spans="1:17" x14ac:dyDescent="0.3">
      <c r="A158" s="67">
        <v>350</v>
      </c>
      <c r="B158" s="71" t="s">
        <v>97</v>
      </c>
      <c r="C158" s="143">
        <v>5000</v>
      </c>
      <c r="D158" s="143"/>
      <c r="E158" s="143"/>
      <c r="F158" s="143"/>
      <c r="G158" s="143"/>
      <c r="H158" s="143"/>
      <c r="I158" s="143">
        <f t="shared" si="65"/>
        <v>5000</v>
      </c>
      <c r="J158" s="225"/>
    </row>
    <row r="159" spans="1:17" x14ac:dyDescent="0.3">
      <c r="A159" s="67">
        <v>591</v>
      </c>
      <c r="B159" s="71" t="s">
        <v>98</v>
      </c>
      <c r="C159" s="145">
        <f>(I86+I89+I92+I93+I94)*0.0125</f>
        <v>64165.613301563055</v>
      </c>
      <c r="D159" s="143">
        <f>(D79+D80+D81)*0.0125</f>
        <v>3462.1624297500002</v>
      </c>
      <c r="E159" s="143"/>
      <c r="F159" s="143"/>
      <c r="G159" s="143"/>
      <c r="H159" s="143"/>
      <c r="I159" s="143">
        <f t="shared" si="65"/>
        <v>67627.775731313057</v>
      </c>
      <c r="J159" s="238"/>
    </row>
    <row r="160" spans="1:17" hidden="1" x14ac:dyDescent="0.3">
      <c r="A160" s="67">
        <v>320</v>
      </c>
      <c r="B160" s="71" t="s">
        <v>341</v>
      </c>
      <c r="C160" s="142"/>
      <c r="D160" s="143"/>
      <c r="E160" s="143"/>
      <c r="F160" s="143"/>
      <c r="G160" s="143"/>
      <c r="H160" s="143"/>
      <c r="I160" s="143">
        <f t="shared" si="65"/>
        <v>0</v>
      </c>
      <c r="J160" s="238"/>
      <c r="K160" s="259"/>
      <c r="L160" s="259"/>
      <c r="M160" s="259"/>
      <c r="N160" s="259"/>
      <c r="O160" s="259"/>
    </row>
    <row r="161" spans="1:15" hidden="1" x14ac:dyDescent="0.3">
      <c r="A161" s="67"/>
      <c r="B161" s="71"/>
      <c r="C161" s="142"/>
      <c r="D161" s="143"/>
      <c r="E161" s="143"/>
      <c r="F161" s="143"/>
      <c r="G161" s="143"/>
      <c r="H161" s="143"/>
      <c r="I161" s="143"/>
      <c r="J161" s="238"/>
      <c r="K161" s="259"/>
      <c r="L161" s="259"/>
      <c r="M161" s="259"/>
      <c r="N161" s="259"/>
      <c r="O161" s="259"/>
    </row>
    <row r="162" spans="1:15" ht="15" thickBot="1" x14ac:dyDescent="0.35">
      <c r="A162" s="67">
        <v>330</v>
      </c>
      <c r="B162" s="71" t="s">
        <v>381</v>
      </c>
      <c r="C162" s="145">
        <f>C86*0.005</f>
        <v>23339.17034872522</v>
      </c>
      <c r="D162" s="143"/>
      <c r="E162" s="143"/>
      <c r="F162" s="143"/>
      <c r="G162" s="143"/>
      <c r="H162" s="143">
        <f>H78</f>
        <v>48450</v>
      </c>
      <c r="I162" s="143">
        <f t="shared" si="65"/>
        <v>71789.170348725223</v>
      </c>
      <c r="J162" s="238"/>
    </row>
    <row r="163" spans="1:15" ht="15" thickBot="1" x14ac:dyDescent="0.35">
      <c r="A163" s="103"/>
      <c r="B163" s="528" t="s">
        <v>447</v>
      </c>
      <c r="C163" s="483">
        <f>SUM(C150:C162)</f>
        <v>428114.9086502883</v>
      </c>
      <c r="D163" s="483">
        <f t="shared" ref="D163:I163" si="66">SUM(D150:D162)</f>
        <v>17382.162429750002</v>
      </c>
      <c r="E163" s="483">
        <f t="shared" si="66"/>
        <v>172080</v>
      </c>
      <c r="F163" s="483">
        <f t="shared" si="66"/>
        <v>240</v>
      </c>
      <c r="G163" s="483">
        <f t="shared" si="66"/>
        <v>960</v>
      </c>
      <c r="H163" s="483">
        <f t="shared" si="66"/>
        <v>48450</v>
      </c>
      <c r="I163" s="483">
        <f t="shared" si="66"/>
        <v>667227.07108003832</v>
      </c>
      <c r="J163" s="225"/>
      <c r="K163" s="260"/>
      <c r="L163" s="260"/>
      <c r="M163" s="260"/>
      <c r="N163" s="260"/>
      <c r="O163" s="260"/>
    </row>
    <row r="164" spans="1:15" ht="15" thickBot="1" x14ac:dyDescent="0.35">
      <c r="A164" s="107"/>
      <c r="B164" s="529" t="s">
        <v>448</v>
      </c>
      <c r="C164" s="150" t="str">
        <f t="shared" ref="C164:I164" si="67">C1</f>
        <v>Operating</v>
      </c>
      <c r="D164" s="150" t="str">
        <f t="shared" si="67"/>
        <v>Weights</v>
      </c>
      <c r="E164" s="150" t="str">
        <f t="shared" si="67"/>
        <v>SPED</v>
      </c>
      <c r="F164" s="150" t="str">
        <f t="shared" si="67"/>
        <v>NSLP</v>
      </c>
      <c r="G164" s="150" t="str">
        <f t="shared" si="67"/>
        <v>Title 1</v>
      </c>
      <c r="H164" s="150" t="str">
        <f t="shared" si="67"/>
        <v>Title 2</v>
      </c>
      <c r="I164" s="150" t="str">
        <f t="shared" si="67"/>
        <v>Total</v>
      </c>
      <c r="J164" s="230"/>
    </row>
    <row r="165" spans="1:15" x14ac:dyDescent="0.3">
      <c r="A165" s="67">
        <v>533</v>
      </c>
      <c r="B165" s="71" t="s">
        <v>103</v>
      </c>
      <c r="C165" s="163">
        <f>'26-27'!C165*1.05</f>
        <v>7657.6893750000008</v>
      </c>
      <c r="D165" s="143"/>
      <c r="E165" s="143"/>
      <c r="F165" s="143"/>
      <c r="G165" s="143"/>
      <c r="H165" s="143"/>
      <c r="I165" s="143">
        <f>SUM(C165:H165)</f>
        <v>7657.6893750000008</v>
      </c>
      <c r="J165" s="225"/>
    </row>
    <row r="166" spans="1:15" x14ac:dyDescent="0.3">
      <c r="A166" s="67">
        <v>535</v>
      </c>
      <c r="B166" s="71" t="s">
        <v>104</v>
      </c>
      <c r="C166" s="163">
        <f>'26-27'!C166*1.05</f>
        <v>8933.970937500002</v>
      </c>
      <c r="D166" s="143"/>
      <c r="E166" s="143"/>
      <c r="F166" s="143"/>
      <c r="G166" s="143"/>
      <c r="H166" s="143"/>
      <c r="I166" s="143">
        <f t="shared" ref="I166:I171" si="68">SUM(C166:H166)</f>
        <v>8933.970937500002</v>
      </c>
      <c r="J166" s="225"/>
    </row>
    <row r="167" spans="1:15" x14ac:dyDescent="0.3">
      <c r="A167" s="67">
        <v>534</v>
      </c>
      <c r="B167" s="71" t="s">
        <v>105</v>
      </c>
      <c r="C167" s="143">
        <v>0</v>
      </c>
      <c r="D167" s="143"/>
      <c r="E167" s="143"/>
      <c r="F167" s="143"/>
      <c r="G167" s="143"/>
      <c r="H167" s="143"/>
      <c r="I167" s="143">
        <f t="shared" si="68"/>
        <v>0</v>
      </c>
      <c r="J167" s="225"/>
    </row>
    <row r="168" spans="1:15" x14ac:dyDescent="0.3">
      <c r="A168" s="67">
        <v>531</v>
      </c>
      <c r="B168" s="71" t="s">
        <v>106</v>
      </c>
      <c r="C168" s="143">
        <v>1250</v>
      </c>
      <c r="D168" s="143"/>
      <c r="E168" s="143"/>
      <c r="F168" s="143"/>
      <c r="G168" s="143"/>
      <c r="H168" s="143"/>
      <c r="I168" s="143">
        <f t="shared" si="68"/>
        <v>1250</v>
      </c>
      <c r="J168" s="225"/>
    </row>
    <row r="169" spans="1:15" x14ac:dyDescent="0.3">
      <c r="A169" s="67">
        <v>535</v>
      </c>
      <c r="B169" s="71" t="s">
        <v>107</v>
      </c>
      <c r="C169" s="163">
        <f>'26-27'!C169*1.02</f>
        <v>5520.4040159999995</v>
      </c>
      <c r="D169" s="143"/>
      <c r="E169" s="143"/>
      <c r="F169" s="143"/>
      <c r="G169" s="143"/>
      <c r="H169" s="143"/>
      <c r="I169" s="143">
        <f t="shared" si="68"/>
        <v>5520.4040159999995</v>
      </c>
      <c r="J169" s="225"/>
    </row>
    <row r="170" spans="1:15" x14ac:dyDescent="0.3">
      <c r="A170" s="67">
        <v>443</v>
      </c>
      <c r="B170" s="71" t="s">
        <v>108</v>
      </c>
      <c r="C170" s="163">
        <f>'26-27'!C170*1.05</f>
        <v>20837.25</v>
      </c>
      <c r="D170" s="143"/>
      <c r="E170" s="143"/>
      <c r="F170" s="143"/>
      <c r="G170" s="143"/>
      <c r="H170" s="143"/>
      <c r="I170" s="143">
        <f t="shared" si="68"/>
        <v>20837.25</v>
      </c>
      <c r="J170" s="225"/>
    </row>
    <row r="171" spans="1:15" ht="15" thickBot="1" x14ac:dyDescent="0.35">
      <c r="A171" s="67">
        <v>651</v>
      </c>
      <c r="B171" s="71" t="s">
        <v>109</v>
      </c>
      <c r="C171" s="143">
        <f>2500+(C19*2)</f>
        <v>3700</v>
      </c>
      <c r="D171" s="143"/>
      <c r="E171" s="143"/>
      <c r="F171" s="143"/>
      <c r="G171" s="143"/>
      <c r="H171" s="143"/>
      <c r="I171" s="143">
        <f t="shared" si="68"/>
        <v>3700</v>
      </c>
      <c r="J171" s="225"/>
    </row>
    <row r="172" spans="1:15" ht="15" thickBot="1" x14ac:dyDescent="0.35">
      <c r="A172" s="103"/>
      <c r="B172" s="528" t="s">
        <v>449</v>
      </c>
      <c r="C172" s="483">
        <f>SUM(C165:C171)</f>
        <v>47899.314328500004</v>
      </c>
      <c r="D172" s="483">
        <f t="shared" ref="D172:I172" si="69">SUM(D165:D171)</f>
        <v>0</v>
      </c>
      <c r="E172" s="483">
        <f t="shared" si="69"/>
        <v>0</v>
      </c>
      <c r="F172" s="483">
        <f t="shared" si="69"/>
        <v>0</v>
      </c>
      <c r="G172" s="483">
        <f t="shared" si="69"/>
        <v>0</v>
      </c>
      <c r="H172" s="483">
        <f t="shared" si="69"/>
        <v>0</v>
      </c>
      <c r="I172" s="483">
        <f t="shared" si="69"/>
        <v>47899.314328500004</v>
      </c>
      <c r="J172" s="225"/>
    </row>
    <row r="173" spans="1:15" ht="15" thickBot="1" x14ac:dyDescent="0.35">
      <c r="A173" s="107"/>
      <c r="B173" s="108" t="s">
        <v>111</v>
      </c>
      <c r="C173" s="162"/>
      <c r="D173" s="162"/>
      <c r="E173" s="162"/>
      <c r="F173" s="162"/>
      <c r="G173" s="162"/>
      <c r="H173" s="162"/>
      <c r="I173" s="162"/>
      <c r="J173" s="225"/>
    </row>
    <row r="174" spans="1:15" x14ac:dyDescent="0.3">
      <c r="A174" s="67">
        <v>521</v>
      </c>
      <c r="B174" s="71" t="s">
        <v>410</v>
      </c>
      <c r="C174" s="163">
        <f>'26-27'!C174*1.1</f>
        <v>11273.570000000005</v>
      </c>
      <c r="D174" s="143"/>
      <c r="E174" s="143"/>
      <c r="F174" s="143"/>
      <c r="G174" s="143"/>
      <c r="H174" s="143"/>
      <c r="I174" s="143">
        <f>SUM(C174:H174)</f>
        <v>11273.570000000005</v>
      </c>
      <c r="J174" s="225"/>
    </row>
    <row r="175" spans="1:15" x14ac:dyDescent="0.3">
      <c r="A175" s="67">
        <v>522</v>
      </c>
      <c r="B175" s="71" t="s">
        <v>113</v>
      </c>
      <c r="C175" s="163">
        <f>'26-27'!C175*1.1</f>
        <v>8052.5500000000038</v>
      </c>
      <c r="D175" s="143"/>
      <c r="E175" s="143"/>
      <c r="F175" s="143"/>
      <c r="G175" s="143"/>
      <c r="H175" s="143"/>
      <c r="I175" s="143">
        <f t="shared" ref="I175:I176" si="70">SUM(C175:H175)</f>
        <v>8052.5500000000038</v>
      </c>
      <c r="J175" s="225"/>
      <c r="K175" s="408"/>
    </row>
    <row r="176" spans="1:15" ht="15" thickBot="1" x14ac:dyDescent="0.35">
      <c r="A176" s="67">
        <v>523</v>
      </c>
      <c r="B176" s="71" t="s">
        <v>114</v>
      </c>
      <c r="C176" s="163">
        <f>'26-27'!C176*1.1</f>
        <v>21741.885000000009</v>
      </c>
      <c r="D176" s="143"/>
      <c r="E176" s="143"/>
      <c r="F176" s="143"/>
      <c r="G176" s="143"/>
      <c r="H176" s="143"/>
      <c r="I176" s="143">
        <f t="shared" si="70"/>
        <v>21741.885000000009</v>
      </c>
      <c r="J176" s="225"/>
    </row>
    <row r="177" spans="1:13" ht="15" thickBot="1" x14ac:dyDescent="0.35">
      <c r="A177" s="103"/>
      <c r="B177" s="528" t="s">
        <v>450</v>
      </c>
      <c r="C177" s="483">
        <f>SUM(C174:C176)</f>
        <v>41068.005000000019</v>
      </c>
      <c r="D177" s="483">
        <f t="shared" ref="D177:I177" si="71">SUM(D174:D176)</f>
        <v>0</v>
      </c>
      <c r="E177" s="483">
        <f t="shared" si="71"/>
        <v>0</v>
      </c>
      <c r="F177" s="483">
        <f t="shared" si="71"/>
        <v>0</v>
      </c>
      <c r="G177" s="483">
        <f t="shared" si="71"/>
        <v>0</v>
      </c>
      <c r="H177" s="483">
        <f t="shared" si="71"/>
        <v>0</v>
      </c>
      <c r="I177" s="483">
        <f t="shared" si="71"/>
        <v>41068.005000000019</v>
      </c>
      <c r="J177" s="225"/>
    </row>
    <row r="178" spans="1:13" ht="15" thickBot="1" x14ac:dyDescent="0.35">
      <c r="A178" s="107"/>
      <c r="B178" s="108" t="s">
        <v>116</v>
      </c>
      <c r="C178" s="162"/>
      <c r="D178" s="162"/>
      <c r="E178" s="162"/>
      <c r="F178" s="162"/>
      <c r="G178" s="162"/>
      <c r="H178" s="162"/>
      <c r="I178" s="162"/>
      <c r="J178" s="225"/>
    </row>
    <row r="179" spans="1:13" x14ac:dyDescent="0.3">
      <c r="A179" s="67">
        <v>570</v>
      </c>
      <c r="B179" s="71" t="s">
        <v>392</v>
      </c>
      <c r="C179" s="143">
        <f>((C19*C25)*3*180)</f>
        <v>0</v>
      </c>
      <c r="D179" s="143"/>
      <c r="E179" s="143"/>
      <c r="F179" s="143">
        <f>((C19*F25)*3.25*180)+((C19*F25)*2.5*180)</f>
        <v>534060</v>
      </c>
      <c r="G179" s="143"/>
      <c r="H179" s="143"/>
      <c r="I179" s="143">
        <f>SUM(C179:H179)</f>
        <v>534060</v>
      </c>
      <c r="J179" s="239"/>
    </row>
    <row r="180" spans="1:13" x14ac:dyDescent="0.3">
      <c r="A180" s="67">
        <v>540</v>
      </c>
      <c r="B180" s="71" t="s">
        <v>118</v>
      </c>
      <c r="C180" s="163">
        <f>'26-27'!C180*1.04</f>
        <v>6083.2645120000016</v>
      </c>
      <c r="D180" s="143"/>
      <c r="E180" s="143"/>
      <c r="F180" s="143"/>
      <c r="G180" s="143"/>
      <c r="H180" s="143"/>
      <c r="I180" s="143">
        <f t="shared" ref="I180:I187" si="72">SUM(C180:H180)</f>
        <v>6083.2645120000016</v>
      </c>
      <c r="J180" s="225"/>
    </row>
    <row r="181" spans="1:13" x14ac:dyDescent="0.3">
      <c r="A181" s="67">
        <v>580</v>
      </c>
      <c r="B181" s="71" t="s">
        <v>119</v>
      </c>
      <c r="C181" s="143">
        <v>5000</v>
      </c>
      <c r="D181" s="143"/>
      <c r="E181" s="143"/>
      <c r="F181" s="143"/>
      <c r="G181" s="143"/>
      <c r="H181" s="143"/>
      <c r="I181" s="143">
        <f t="shared" si="72"/>
        <v>5000</v>
      </c>
      <c r="J181" s="225"/>
    </row>
    <row r="182" spans="1:13" x14ac:dyDescent="0.3">
      <c r="A182" s="67">
        <v>340</v>
      </c>
      <c r="B182" s="71" t="s">
        <v>120</v>
      </c>
      <c r="C182" s="143">
        <f>IF((I64-'25-26'!I64)*60&gt;600,(I64-'25-26'!I64)*60,600)</f>
        <v>600</v>
      </c>
      <c r="D182" s="143"/>
      <c r="E182" s="143"/>
      <c r="F182" s="143"/>
      <c r="G182" s="143"/>
      <c r="H182" s="143"/>
      <c r="I182" s="143">
        <f t="shared" si="72"/>
        <v>600</v>
      </c>
      <c r="J182" s="225"/>
    </row>
    <row r="183" spans="1:13" x14ac:dyDescent="0.3">
      <c r="A183" s="112">
        <v>810</v>
      </c>
      <c r="B183" s="71" t="s">
        <v>121</v>
      </c>
      <c r="C183" s="145">
        <v>10500</v>
      </c>
      <c r="D183" s="143"/>
      <c r="E183" s="143"/>
      <c r="F183" s="143"/>
      <c r="G183" s="143"/>
      <c r="H183" s="143"/>
      <c r="I183" s="143">
        <f t="shared" si="72"/>
        <v>10500</v>
      </c>
      <c r="J183" s="225"/>
    </row>
    <row r="184" spans="1:13" hidden="1" x14ac:dyDescent="0.3">
      <c r="A184" s="94"/>
      <c r="B184" s="71" t="s">
        <v>122</v>
      </c>
      <c r="C184" s="145"/>
      <c r="D184" s="143"/>
      <c r="E184" s="143"/>
      <c r="F184" s="143"/>
      <c r="G184" s="143"/>
      <c r="H184" s="143"/>
      <c r="I184" s="143">
        <f t="shared" si="72"/>
        <v>0</v>
      </c>
      <c r="J184" s="225"/>
    </row>
    <row r="185" spans="1:13" x14ac:dyDescent="0.3">
      <c r="A185" s="112"/>
      <c r="B185" s="71" t="s">
        <v>123</v>
      </c>
      <c r="C185" s="145"/>
      <c r="D185" s="143"/>
      <c r="E185" s="143"/>
      <c r="F185" s="143"/>
      <c r="G185" s="143"/>
      <c r="H185" s="143"/>
      <c r="I185" s="143">
        <f t="shared" si="72"/>
        <v>0</v>
      </c>
      <c r="J185" s="225"/>
    </row>
    <row r="186" spans="1:13" x14ac:dyDescent="0.3">
      <c r="A186" s="112"/>
      <c r="B186" s="71" t="s">
        <v>124</v>
      </c>
      <c r="C186" s="145"/>
      <c r="D186" s="143"/>
      <c r="E186" s="143"/>
      <c r="F186" s="143"/>
      <c r="G186" s="143"/>
      <c r="H186" s="143"/>
      <c r="I186" s="143">
        <f t="shared" si="72"/>
        <v>0</v>
      </c>
      <c r="J186" s="225"/>
      <c r="K186" s="260"/>
      <c r="L186" s="260"/>
      <c r="M186" s="261"/>
    </row>
    <row r="187" spans="1:13" ht="15" thickBot="1" x14ac:dyDescent="0.35">
      <c r="A187" s="67">
        <v>900</v>
      </c>
      <c r="B187" s="71" t="s">
        <v>125</v>
      </c>
      <c r="C187" s="143">
        <v>1000</v>
      </c>
      <c r="D187" s="143"/>
      <c r="E187" s="143"/>
      <c r="F187" s="143"/>
      <c r="G187" s="143"/>
      <c r="H187" s="143"/>
      <c r="I187" s="143">
        <f t="shared" si="72"/>
        <v>1000</v>
      </c>
      <c r="J187" s="225"/>
    </row>
    <row r="188" spans="1:13" ht="15" thickBot="1" x14ac:dyDescent="0.35">
      <c r="A188" s="103"/>
      <c r="B188" s="528" t="s">
        <v>451</v>
      </c>
      <c r="C188" s="483">
        <f>SUM(C179:C187)</f>
        <v>23183.264512000002</v>
      </c>
      <c r="D188" s="483">
        <f t="shared" ref="D188:I188" si="73">SUM(D179:D187)</f>
        <v>0</v>
      </c>
      <c r="E188" s="483">
        <f t="shared" si="73"/>
        <v>0</v>
      </c>
      <c r="F188" s="483">
        <f t="shared" si="73"/>
        <v>534060</v>
      </c>
      <c r="G188" s="483">
        <f t="shared" si="73"/>
        <v>0</v>
      </c>
      <c r="H188" s="483">
        <f t="shared" si="73"/>
        <v>0</v>
      </c>
      <c r="I188" s="483">
        <f t="shared" si="73"/>
        <v>557243.26451200002</v>
      </c>
      <c r="J188" s="225"/>
    </row>
    <row r="189" spans="1:13" ht="15" thickBot="1" x14ac:dyDescent="0.35">
      <c r="A189" s="107"/>
      <c r="B189" s="108" t="s">
        <v>127</v>
      </c>
      <c r="C189" s="150" t="str">
        <f t="shared" ref="C189:I189" si="74">C1</f>
        <v>Operating</v>
      </c>
      <c r="D189" s="150" t="str">
        <f t="shared" si="74"/>
        <v>Weights</v>
      </c>
      <c r="E189" s="150" t="str">
        <f t="shared" si="74"/>
        <v>SPED</v>
      </c>
      <c r="F189" s="150" t="str">
        <f t="shared" si="74"/>
        <v>NSLP</v>
      </c>
      <c r="G189" s="150" t="str">
        <f t="shared" si="74"/>
        <v>Title 1</v>
      </c>
      <c r="H189" s="150" t="str">
        <f t="shared" si="74"/>
        <v>Title 2</v>
      </c>
      <c r="I189" s="150" t="str">
        <f t="shared" si="74"/>
        <v>Total</v>
      </c>
      <c r="J189" s="230"/>
    </row>
    <row r="190" spans="1:13" x14ac:dyDescent="0.3">
      <c r="A190" s="78">
        <v>622</v>
      </c>
      <c r="B190" s="71" t="s">
        <v>325</v>
      </c>
      <c r="C190" s="157">
        <f>'26-27'!C190*1.06</f>
        <v>56144.887500000004</v>
      </c>
      <c r="D190" s="143"/>
      <c r="E190" s="143"/>
      <c r="F190" s="143"/>
      <c r="G190" s="143"/>
      <c r="H190" s="143"/>
      <c r="I190" s="143">
        <f>SUM(C190:H190)</f>
        <v>56144.887500000004</v>
      </c>
      <c r="J190" s="225"/>
    </row>
    <row r="191" spans="1:13" x14ac:dyDescent="0.3">
      <c r="A191" s="67">
        <v>621</v>
      </c>
      <c r="B191" s="71" t="s">
        <v>129</v>
      </c>
      <c r="C191" s="157">
        <f>'26-27'!C191*1.06</f>
        <v>0</v>
      </c>
      <c r="D191" s="143"/>
      <c r="E191" s="143"/>
      <c r="F191" s="143"/>
      <c r="G191" s="143"/>
      <c r="H191" s="143"/>
      <c r="I191" s="143">
        <f t="shared" ref="I191:I200" si="75">SUM(C191:H191)</f>
        <v>0</v>
      </c>
      <c r="J191" s="225"/>
    </row>
    <row r="192" spans="1:13" x14ac:dyDescent="0.3">
      <c r="A192" s="67">
        <v>411</v>
      </c>
      <c r="B192" s="71" t="s">
        <v>130</v>
      </c>
      <c r="C192" s="157">
        <f>'26-27'!C192*1.06</f>
        <v>15870.288200000003</v>
      </c>
      <c r="D192" s="143"/>
      <c r="E192" s="143"/>
      <c r="F192" s="143"/>
      <c r="G192" s="143"/>
      <c r="H192" s="143"/>
      <c r="I192" s="143">
        <f t="shared" si="75"/>
        <v>15870.288200000003</v>
      </c>
      <c r="J192" s="225"/>
    </row>
    <row r="193" spans="1:15" x14ac:dyDescent="0.3">
      <c r="A193" s="67">
        <v>422</v>
      </c>
      <c r="B193" s="71" t="s">
        <v>131</v>
      </c>
      <c r="C193" s="157">
        <f>'26-27'!C193*1.06</f>
        <v>11902.716150000002</v>
      </c>
      <c r="D193" s="143"/>
      <c r="E193" s="143"/>
      <c r="F193" s="143"/>
      <c r="G193" s="143"/>
      <c r="H193" s="143"/>
      <c r="I193" s="143">
        <f t="shared" si="75"/>
        <v>11902.716150000002</v>
      </c>
      <c r="J193" s="225"/>
    </row>
    <row r="194" spans="1:15" x14ac:dyDescent="0.3">
      <c r="A194" s="67">
        <v>490</v>
      </c>
      <c r="B194" s="71" t="s">
        <v>132</v>
      </c>
      <c r="C194" s="163">
        <f>'26-27'!C194*1.03</f>
        <v>5796.3703715000001</v>
      </c>
      <c r="D194" s="143"/>
      <c r="E194" s="143"/>
      <c r="F194" s="143"/>
      <c r="G194" s="143"/>
      <c r="H194" s="143"/>
      <c r="I194" s="143">
        <f t="shared" si="75"/>
        <v>5796.3703715000001</v>
      </c>
      <c r="J194" s="225"/>
    </row>
    <row r="195" spans="1:15" x14ac:dyDescent="0.3">
      <c r="A195" s="67">
        <v>422</v>
      </c>
      <c r="B195" s="71" t="s">
        <v>133</v>
      </c>
      <c r="C195" s="142">
        <f>((45000)*0.15)*12</f>
        <v>81000</v>
      </c>
      <c r="D195" s="143"/>
      <c r="E195" s="143"/>
      <c r="F195" s="143"/>
      <c r="G195" s="143"/>
      <c r="H195" s="143"/>
      <c r="I195" s="143">
        <f t="shared" si="75"/>
        <v>81000</v>
      </c>
      <c r="J195" s="237"/>
    </row>
    <row r="196" spans="1:15" x14ac:dyDescent="0.3">
      <c r="A196" s="67">
        <v>610</v>
      </c>
      <c r="B196" s="71" t="s">
        <v>134</v>
      </c>
      <c r="C196" s="143">
        <f>32*C5</f>
        <v>19200</v>
      </c>
      <c r="D196" s="143"/>
      <c r="E196" s="143"/>
      <c r="F196" s="143"/>
      <c r="G196" s="143"/>
      <c r="H196" s="143"/>
      <c r="I196" s="143">
        <f t="shared" si="75"/>
        <v>19200</v>
      </c>
      <c r="J196" s="237"/>
    </row>
    <row r="197" spans="1:15" x14ac:dyDescent="0.3">
      <c r="A197" s="67" t="s">
        <v>135</v>
      </c>
      <c r="B197" s="71" t="s">
        <v>136</v>
      </c>
      <c r="C197" s="143">
        <v>15000</v>
      </c>
      <c r="D197" s="143"/>
      <c r="E197" s="143"/>
      <c r="F197" s="143"/>
      <c r="G197" s="143"/>
      <c r="H197" s="143"/>
      <c r="I197" s="143">
        <f t="shared" si="75"/>
        <v>15000</v>
      </c>
      <c r="J197" s="237"/>
    </row>
    <row r="198" spans="1:15" hidden="1" x14ac:dyDescent="0.3">
      <c r="A198" s="113"/>
      <c r="B198" s="71" t="s">
        <v>137</v>
      </c>
      <c r="C198" s="143">
        <v>0</v>
      </c>
      <c r="D198" s="143"/>
      <c r="E198" s="143"/>
      <c r="F198" s="143"/>
      <c r="G198" s="143"/>
      <c r="H198" s="143"/>
      <c r="I198" s="143">
        <f t="shared" si="75"/>
        <v>0</v>
      </c>
      <c r="J198" s="237"/>
    </row>
    <row r="199" spans="1:15" x14ac:dyDescent="0.3">
      <c r="A199" s="67">
        <v>420</v>
      </c>
      <c r="B199" s="71" t="s">
        <v>138</v>
      </c>
      <c r="C199" s="163">
        <f>'26-27'!C199*1.03</f>
        <v>6955.6444458000014</v>
      </c>
      <c r="D199" s="143"/>
      <c r="E199" s="143"/>
      <c r="F199" s="143"/>
      <c r="G199" s="143"/>
      <c r="H199" s="143"/>
      <c r="I199" s="143">
        <f t="shared" si="75"/>
        <v>6955.6444458000014</v>
      </c>
      <c r="J199" s="225"/>
    </row>
    <row r="200" spans="1:15" ht="15" thickBot="1" x14ac:dyDescent="0.35">
      <c r="A200" s="74">
        <v>431</v>
      </c>
      <c r="B200" s="71" t="s">
        <v>139</v>
      </c>
      <c r="C200" s="163">
        <f>'26-27'!C200*1.03</f>
        <v>8694.5555572499998</v>
      </c>
      <c r="D200" s="143"/>
      <c r="E200" s="143"/>
      <c r="F200" s="143"/>
      <c r="G200" s="143"/>
      <c r="H200" s="143"/>
      <c r="I200" s="143">
        <f t="shared" si="75"/>
        <v>8694.5555572499998</v>
      </c>
      <c r="J200" s="225"/>
    </row>
    <row r="201" spans="1:15" ht="15" thickBot="1" x14ac:dyDescent="0.35">
      <c r="A201" s="95"/>
      <c r="B201" s="528" t="s">
        <v>452</v>
      </c>
      <c r="C201" s="483">
        <f>SUM(C190:C200)</f>
        <v>220564.46222454999</v>
      </c>
      <c r="D201" s="483">
        <f t="shared" ref="D201:I201" si="76">SUM(D190:D200)</f>
        <v>0</v>
      </c>
      <c r="E201" s="483">
        <f t="shared" si="76"/>
        <v>0</v>
      </c>
      <c r="F201" s="483">
        <f t="shared" si="76"/>
        <v>0</v>
      </c>
      <c r="G201" s="483">
        <f t="shared" si="76"/>
        <v>0</v>
      </c>
      <c r="H201" s="483">
        <f t="shared" si="76"/>
        <v>0</v>
      </c>
      <c r="I201" s="483">
        <f t="shared" si="76"/>
        <v>220564.46222454999</v>
      </c>
      <c r="J201" s="225"/>
    </row>
    <row r="202" spans="1:15" ht="15" thickBot="1" x14ac:dyDescent="0.35">
      <c r="A202" s="114"/>
      <c r="B202" s="530"/>
      <c r="C202" s="154"/>
      <c r="D202" s="154"/>
      <c r="E202" s="154"/>
      <c r="F202" s="154"/>
      <c r="G202" s="154"/>
      <c r="H202" s="154"/>
      <c r="I202" s="154"/>
      <c r="J202" s="225"/>
    </row>
    <row r="203" spans="1:15" ht="15" thickBot="1" x14ac:dyDescent="0.35">
      <c r="A203" s="116"/>
      <c r="B203" s="528" t="s">
        <v>453</v>
      </c>
      <c r="C203" s="531">
        <f>C136+C148+C163+C172+C177+C188+C201</f>
        <v>3611740.2077626586</v>
      </c>
      <c r="D203" s="531">
        <f t="shared" ref="D203:I203" si="77">D136+D148+D163+D172+D177+D188+D201</f>
        <v>298058.97633062495</v>
      </c>
      <c r="E203" s="531">
        <f t="shared" si="77"/>
        <v>516915.02500000002</v>
      </c>
      <c r="F203" s="531">
        <f t="shared" si="77"/>
        <v>573745.42500000005</v>
      </c>
      <c r="G203" s="531">
        <f t="shared" si="77"/>
        <v>210808.67243937496</v>
      </c>
      <c r="H203" s="531">
        <f t="shared" si="77"/>
        <v>51588.75</v>
      </c>
      <c r="I203" s="531">
        <f t="shared" si="77"/>
        <v>5262857.0565326568</v>
      </c>
      <c r="J203" s="225"/>
      <c r="M203" s="221"/>
    </row>
    <row r="204" spans="1:15" x14ac:dyDescent="0.3">
      <c r="A204" s="78"/>
      <c r="B204" s="118"/>
      <c r="C204" s="157"/>
      <c r="D204" s="157"/>
      <c r="E204" s="157"/>
      <c r="F204" s="157"/>
      <c r="G204" s="157"/>
      <c r="H204" s="157"/>
      <c r="I204" s="157"/>
      <c r="J204" s="225"/>
    </row>
    <row r="205" spans="1:15" x14ac:dyDescent="0.3">
      <c r="A205" s="67"/>
      <c r="B205" s="533" t="s">
        <v>464</v>
      </c>
      <c r="C205" s="143">
        <v>0</v>
      </c>
      <c r="D205" s="143"/>
      <c r="E205" s="143"/>
      <c r="F205" s="143"/>
      <c r="G205" s="143"/>
      <c r="H205" s="143"/>
      <c r="I205" s="143"/>
      <c r="J205" s="225"/>
    </row>
    <row r="206" spans="1:15" x14ac:dyDescent="0.3">
      <c r="A206" s="67"/>
      <c r="B206" s="533" t="s">
        <v>142</v>
      </c>
      <c r="C206" s="143">
        <f>C19*(900*1.09)</f>
        <v>588600.00000000012</v>
      </c>
      <c r="D206" s="143"/>
      <c r="E206" s="143"/>
      <c r="F206" s="143"/>
      <c r="G206" s="143"/>
      <c r="H206" s="143"/>
      <c r="I206" s="143">
        <f>SUM(C206:H206)</f>
        <v>588600.00000000012</v>
      </c>
      <c r="K206" s="268"/>
      <c r="L206" s="238"/>
      <c r="M206" s="238"/>
      <c r="N206" s="238"/>
      <c r="O206" s="238"/>
    </row>
    <row r="207" spans="1:15" x14ac:dyDescent="0.3">
      <c r="A207" s="67"/>
      <c r="B207" s="533" t="s">
        <v>143</v>
      </c>
      <c r="C207" s="143">
        <v>0</v>
      </c>
      <c r="D207" s="143"/>
      <c r="E207" s="143"/>
      <c r="F207" s="143"/>
      <c r="G207" s="143"/>
      <c r="H207" s="143"/>
      <c r="I207" s="143">
        <f t="shared" ref="I207:I210" si="78">SUM(C207:H207)</f>
        <v>0</v>
      </c>
      <c r="J207" s="225"/>
      <c r="K207" s="429"/>
    </row>
    <row r="208" spans="1:15" x14ac:dyDescent="0.3">
      <c r="A208" s="67"/>
      <c r="B208" s="533" t="s">
        <v>383</v>
      </c>
      <c r="C208" s="143">
        <v>0</v>
      </c>
      <c r="D208" s="143"/>
      <c r="E208" s="143"/>
      <c r="F208" s="143"/>
      <c r="G208" s="143"/>
      <c r="H208" s="143"/>
      <c r="I208" s="143">
        <f t="shared" si="78"/>
        <v>0</v>
      </c>
      <c r="J208" s="430"/>
    </row>
    <row r="209" spans="1:10" x14ac:dyDescent="0.3">
      <c r="A209" s="67"/>
      <c r="B209" s="139"/>
      <c r="C209" s="143">
        <v>0</v>
      </c>
      <c r="D209" s="143">
        <v>0</v>
      </c>
      <c r="E209" s="143">
        <v>0</v>
      </c>
      <c r="F209" s="143">
        <v>0</v>
      </c>
      <c r="G209" s="143">
        <v>0</v>
      </c>
      <c r="H209" s="143"/>
      <c r="I209" s="143">
        <f t="shared" si="78"/>
        <v>0</v>
      </c>
      <c r="J209" s="225"/>
    </row>
    <row r="210" spans="1:10" ht="15" thickBot="1" x14ac:dyDescent="0.35">
      <c r="A210" s="74"/>
      <c r="B210" s="62"/>
      <c r="C210" s="153"/>
      <c r="D210" s="153"/>
      <c r="E210" s="153"/>
      <c r="F210" s="153"/>
      <c r="G210" s="153"/>
      <c r="H210" s="153"/>
      <c r="I210" s="143">
        <f t="shared" si="78"/>
        <v>0</v>
      </c>
      <c r="J210" s="225"/>
    </row>
    <row r="211" spans="1:10" ht="15" thickBot="1" x14ac:dyDescent="0.35">
      <c r="A211" s="116"/>
      <c r="B211" s="536" t="s">
        <v>145</v>
      </c>
      <c r="C211" s="537">
        <f>C85-C203-C205-C206-C208-C207</f>
        <v>467493.86198238551</v>
      </c>
      <c r="D211" s="538">
        <f t="shared" ref="D211:I211" si="79">D85-D203-D205-D206-D208-D207</f>
        <v>-21085.981950624962</v>
      </c>
      <c r="E211" s="538">
        <f t="shared" si="79"/>
        <v>-263493.02500000002</v>
      </c>
      <c r="F211" s="538">
        <f t="shared" si="79"/>
        <v>-77766.225000000035</v>
      </c>
      <c r="G211" s="538">
        <f t="shared" si="79"/>
        <v>-25048.672439374961</v>
      </c>
      <c r="H211" s="538">
        <f t="shared" si="79"/>
        <v>-3138.75</v>
      </c>
      <c r="I211" s="538">
        <f t="shared" si="79"/>
        <v>76961.207592387567</v>
      </c>
      <c r="J211" s="225"/>
    </row>
    <row r="212" spans="1:10" ht="15" thickBot="1" x14ac:dyDescent="0.35">
      <c r="A212" s="78"/>
      <c r="B212" s="123"/>
      <c r="C212" s="165">
        <f>C211/(C85-C74)</f>
        <v>0.10015220228424269</v>
      </c>
      <c r="D212" s="165">
        <f>D211/(D85-D74)</f>
        <v>-7.6130100690233807E-2</v>
      </c>
      <c r="E212" s="165">
        <f>E211/(E85-E74)</f>
        <v>-1.0397401370046802</v>
      </c>
      <c r="F212" s="165" t="e">
        <f>F211/(F85-F74)</f>
        <v>#DIV/0!</v>
      </c>
      <c r="G212" s="165">
        <f>G211/(G85-G74)</f>
        <v>-0.13484427454443884</v>
      </c>
      <c r="H212" s="165"/>
      <c r="I212" s="165">
        <f>I211/(I85-I74)</f>
        <v>1.4166971167817975E-2</v>
      </c>
      <c r="J212" s="225"/>
    </row>
    <row r="213" spans="1:10" x14ac:dyDescent="0.3">
      <c r="B213" s="3" t="str">
        <f t="shared" ref="B213:G213" si="80">B1</f>
        <v>Young Women's Leadership Academy - FY24</v>
      </c>
      <c r="C213" s="3" t="str">
        <f t="shared" si="80"/>
        <v>Operating</v>
      </c>
      <c r="D213" s="3" t="str">
        <f t="shared" si="80"/>
        <v>Weights</v>
      </c>
      <c r="E213" s="3" t="str">
        <f t="shared" si="80"/>
        <v>SPED</v>
      </c>
      <c r="F213" s="3" t="str">
        <f t="shared" si="80"/>
        <v>NSLP</v>
      </c>
      <c r="G213" s="3" t="str">
        <f t="shared" si="80"/>
        <v>Title 1</v>
      </c>
      <c r="H213" s="3"/>
      <c r="I213" s="3" t="str">
        <f>I1</f>
        <v>Total</v>
      </c>
      <c r="J213" s="230"/>
    </row>
    <row r="214" spans="1:10" hidden="1" x14ac:dyDescent="0.3"/>
    <row r="215" spans="1:10" hidden="1" x14ac:dyDescent="0.3"/>
    <row r="216" spans="1:10" hidden="1" x14ac:dyDescent="0.3">
      <c r="A216" s="113"/>
      <c r="B216" s="126" t="s">
        <v>146</v>
      </c>
      <c r="C216" s="7"/>
      <c r="D216" s="7"/>
      <c r="E216" s="7"/>
      <c r="F216" s="7"/>
      <c r="G216" s="7"/>
      <c r="H216" s="7"/>
      <c r="I216" s="7"/>
    </row>
    <row r="217" spans="1:10" hidden="1" x14ac:dyDescent="0.3">
      <c r="A217" s="113"/>
      <c r="B217" s="126" t="s">
        <v>147</v>
      </c>
      <c r="C217" s="7"/>
      <c r="D217" s="7"/>
      <c r="E217" s="7"/>
      <c r="F217" s="7"/>
      <c r="G217" s="7"/>
      <c r="H217" s="7"/>
      <c r="I217" s="7"/>
    </row>
    <row r="218" spans="1:10" hidden="1" x14ac:dyDescent="0.3"/>
    <row r="219" spans="1:10" ht="15" thickBot="1" x14ac:dyDescent="0.35"/>
    <row r="220" spans="1:10" ht="15" thickBot="1" x14ac:dyDescent="0.35">
      <c r="A220" s="116"/>
      <c r="B220" s="122" t="s">
        <v>49</v>
      </c>
      <c r="C220" s="269">
        <f>C74-((C125*1.4725)+C179)</f>
        <v>0</v>
      </c>
      <c r="D220" s="269">
        <f>D74-((D125*1.4725)+D179)</f>
        <v>0</v>
      </c>
      <c r="E220" s="269">
        <f>E74-((E125*1.4775)+E179)</f>
        <v>0</v>
      </c>
      <c r="F220" s="269">
        <f>F74-((F125*1.4825)+F179)</f>
        <v>-71540.825000000012</v>
      </c>
      <c r="G220" s="269">
        <f>G74-((G125*1.4875)+G179)</f>
        <v>0</v>
      </c>
      <c r="H220" s="269"/>
      <c r="I220" s="269">
        <f>I74-((I125*1.4925)+I179)</f>
        <v>-71766.524999999965</v>
      </c>
    </row>
    <row r="221" spans="1:10" ht="15" thickBot="1" x14ac:dyDescent="0.35">
      <c r="A221" s="116"/>
      <c r="B221" s="122" t="s">
        <v>16</v>
      </c>
      <c r="C221" s="269">
        <f>(C75+C76)-(((C109+C118+C119+C120+C121+C122)*1.4725)+C146+C151)</f>
        <v>0</v>
      </c>
      <c r="D221" s="269">
        <f>(D75+D76)-(((D109+D118+D119+D120+D121+D122)*1.4725)+D146+D151)</f>
        <v>0</v>
      </c>
      <c r="E221" s="269">
        <f>(E75+E76)-(((E109+E118+E119+E120+E121+E122)*1.4775)+E146+E151)</f>
        <v>-211284.75000000003</v>
      </c>
      <c r="F221" s="269">
        <f>(F75+F76)-(((F109+F118+F119+F120+F121+F122)*1.4825)+F146+F151)</f>
        <v>0</v>
      </c>
      <c r="G221" s="269">
        <f>(G75+G76)-(((G109+G118+G119+G120+G121+G122)*1.4875)+G146+G151)</f>
        <v>0</v>
      </c>
      <c r="H221" s="269"/>
      <c r="I221" s="269">
        <f>(I75+I76)-(((I109+I118+I119+I120+I121+I122)*1.4925)+I146+I151)</f>
        <v>-214172.25000000003</v>
      </c>
    </row>
    <row r="225" spans="2:9" x14ac:dyDescent="0.3">
      <c r="B225" s="246" t="s">
        <v>195</v>
      </c>
      <c r="C225" s="247"/>
      <c r="D225" s="247"/>
      <c r="E225" s="247"/>
      <c r="F225" s="247"/>
      <c r="G225" s="247"/>
      <c r="H225" s="247"/>
      <c r="I225" s="247">
        <f>I85-I203</f>
        <v>665561.20759238768</v>
      </c>
    </row>
    <row r="226" spans="2:9" x14ac:dyDescent="0.3">
      <c r="C226" s="248"/>
      <c r="D226" s="248"/>
      <c r="E226" s="248"/>
      <c r="F226" s="248"/>
      <c r="G226" s="248"/>
      <c r="H226" s="248"/>
      <c r="I226" s="248"/>
    </row>
    <row r="227" spans="2:9" x14ac:dyDescent="0.3">
      <c r="B227" s="62" t="str">
        <f>B206</f>
        <v>Scheduled Lease Payment</v>
      </c>
      <c r="C227" s="249"/>
      <c r="D227" s="249"/>
      <c r="E227" s="249"/>
      <c r="F227" s="249"/>
      <c r="G227" s="249"/>
      <c r="H227" s="249"/>
      <c r="I227" s="249">
        <f t="shared" ref="I227:I229" si="81">I206</f>
        <v>588600.00000000012</v>
      </c>
    </row>
    <row r="228" spans="2:9" x14ac:dyDescent="0.3">
      <c r="B228" s="62" t="str">
        <f t="shared" ref="B228:B229" si="82">B207</f>
        <v>Scheduled Bond Payment</v>
      </c>
      <c r="C228" s="249"/>
      <c r="D228" s="249"/>
      <c r="E228" s="249"/>
      <c r="F228" s="249"/>
      <c r="G228" s="249"/>
      <c r="H228" s="249"/>
      <c r="I228" s="249">
        <f t="shared" si="81"/>
        <v>0</v>
      </c>
    </row>
    <row r="229" spans="2:9" x14ac:dyDescent="0.3">
      <c r="B229" s="62" t="str">
        <f t="shared" si="82"/>
        <v>Improvements / Loan</v>
      </c>
      <c r="C229" s="249"/>
      <c r="D229" s="249"/>
      <c r="E229" s="249"/>
      <c r="F229" s="249"/>
      <c r="G229" s="249"/>
      <c r="H229" s="249"/>
      <c r="I229" s="249">
        <f t="shared" si="81"/>
        <v>0</v>
      </c>
    </row>
    <row r="230" spans="2:9" x14ac:dyDescent="0.3">
      <c r="B230" s="251" t="s">
        <v>196</v>
      </c>
      <c r="C230" s="252"/>
      <c r="D230" s="252"/>
      <c r="E230" s="252"/>
      <c r="F230" s="252"/>
      <c r="G230" s="252"/>
      <c r="H230" s="252"/>
      <c r="I230" s="252">
        <f t="shared" ref="I230" si="83">SUM(I227:I229)</f>
        <v>588600.00000000012</v>
      </c>
    </row>
    <row r="231" spans="2:9" x14ac:dyDescent="0.3">
      <c r="C231" s="248"/>
      <c r="D231" s="248"/>
      <c r="E231" s="248"/>
      <c r="F231" s="248"/>
      <c r="G231" s="248"/>
      <c r="H231" s="248"/>
      <c r="I231" s="248"/>
    </row>
    <row r="232" spans="2:9" x14ac:dyDescent="0.3">
      <c r="B232" s="246" t="s">
        <v>197</v>
      </c>
      <c r="C232" s="253"/>
      <c r="D232" s="253"/>
      <c r="E232" s="253"/>
      <c r="F232" s="253"/>
      <c r="G232" s="253"/>
      <c r="H232" s="253"/>
      <c r="I232" s="253">
        <f t="shared" ref="I232" si="84">I225/I230</f>
        <v>1.1307529860557044</v>
      </c>
    </row>
    <row r="233" spans="2:9" x14ac:dyDescent="0.3">
      <c r="C233" s="248"/>
      <c r="D233" s="248"/>
      <c r="E233" s="248"/>
      <c r="F233" s="248"/>
      <c r="G233" s="248"/>
      <c r="H233" s="248"/>
      <c r="I233" s="248"/>
    </row>
    <row r="234" spans="2:9" x14ac:dyDescent="0.3">
      <c r="B234" s="254" t="s">
        <v>198</v>
      </c>
      <c r="C234" s="254"/>
      <c r="D234" s="254"/>
      <c r="E234" s="254"/>
      <c r="F234" s="254"/>
      <c r="G234" s="254"/>
      <c r="H234" s="254"/>
      <c r="I234" s="254"/>
    </row>
    <row r="235" spans="2:9" x14ac:dyDescent="0.3">
      <c r="B235" s="62" t="s">
        <v>199</v>
      </c>
      <c r="C235" s="255"/>
      <c r="D235" s="255"/>
      <c r="E235" s="255"/>
      <c r="F235" s="255"/>
      <c r="G235" s="255"/>
      <c r="H235" s="255"/>
      <c r="I235" s="255">
        <f t="shared" ref="I235" si="85">G238</f>
        <v>0</v>
      </c>
    </row>
    <row r="236" spans="2:9" x14ac:dyDescent="0.3">
      <c r="B236" s="248" t="s">
        <v>200</v>
      </c>
      <c r="C236" s="256"/>
      <c r="D236" s="256"/>
      <c r="E236" s="256"/>
      <c r="F236" s="256"/>
      <c r="G236" s="256"/>
      <c r="H236" s="256"/>
      <c r="I236" s="256">
        <v>0</v>
      </c>
    </row>
    <row r="237" spans="2:9" x14ac:dyDescent="0.3">
      <c r="B237" s="248" t="s">
        <v>201</v>
      </c>
      <c r="C237" s="256"/>
      <c r="D237" s="256"/>
      <c r="E237" s="256"/>
      <c r="F237" s="256"/>
      <c r="G237" s="256"/>
      <c r="H237" s="256"/>
      <c r="I237" s="256">
        <f t="shared" ref="I237" si="86">I211</f>
        <v>76961.207592387567</v>
      </c>
    </row>
    <row r="238" spans="2:9" x14ac:dyDescent="0.3">
      <c r="B238" s="257" t="s">
        <v>202</v>
      </c>
      <c r="C238" s="258"/>
      <c r="D238" s="258"/>
      <c r="E238" s="258"/>
      <c r="F238" s="258"/>
      <c r="G238" s="258"/>
      <c r="H238" s="258"/>
      <c r="I238" s="258">
        <f t="shared" ref="I238" si="87">I235+I236+I237</f>
        <v>76961.207592387567</v>
      </c>
    </row>
    <row r="239" spans="2:9" x14ac:dyDescent="0.3">
      <c r="B239" s="246" t="s">
        <v>203</v>
      </c>
      <c r="C239" s="253"/>
      <c r="D239" s="253"/>
      <c r="E239" s="253"/>
      <c r="F239" s="253"/>
      <c r="G239" s="253"/>
      <c r="H239" s="253"/>
      <c r="I239" s="253">
        <f t="shared" ref="I239" si="88">I238/((SUM(I203:I209))/365)</f>
        <v>4.8006574259757091</v>
      </c>
    </row>
    <row r="241" spans="2:11" x14ac:dyDescent="0.3">
      <c r="D241" s="261"/>
      <c r="E241" s="261"/>
      <c r="F241" s="261"/>
      <c r="G241" s="261"/>
      <c r="H241" s="261"/>
      <c r="I241" s="261"/>
    </row>
    <row r="242" spans="2:11" x14ac:dyDescent="0.3">
      <c r="B242" s="377" t="s">
        <v>308</v>
      </c>
      <c r="C242" s="261"/>
      <c r="D242" s="435"/>
      <c r="E242" s="435"/>
      <c r="F242" s="435"/>
      <c r="G242" s="435"/>
      <c r="H242" s="435"/>
      <c r="I242" s="261">
        <f>I128/SUM(I203:I208)</f>
        <v>0.38569095088520955</v>
      </c>
      <c r="J242" s="219"/>
      <c r="K242" s="223"/>
    </row>
    <row r="243" spans="2:11" x14ac:dyDescent="0.3">
      <c r="B243" s="377" t="s">
        <v>231</v>
      </c>
      <c r="C243" s="261"/>
      <c r="D243" s="435"/>
      <c r="E243" s="435"/>
      <c r="F243" s="435"/>
      <c r="G243" s="435"/>
      <c r="H243" s="435"/>
      <c r="I243" s="261">
        <f>SUM(I129:I132)/SUM(I203:I208)</f>
        <v>0.20364379190977483</v>
      </c>
      <c r="J243" s="219"/>
      <c r="K243" s="223"/>
    </row>
    <row r="244" spans="2:11" x14ac:dyDescent="0.3">
      <c r="B244" s="377" t="s">
        <v>93</v>
      </c>
      <c r="C244" s="261"/>
      <c r="D244" s="435"/>
      <c r="E244" s="435"/>
      <c r="F244" s="435"/>
      <c r="G244" s="435"/>
      <c r="H244" s="435"/>
      <c r="I244" s="261">
        <f t="shared" ref="I244" si="89">I154/SUM(I203:I208)</f>
        <v>2.0610251230564923E-3</v>
      </c>
      <c r="J244" s="219"/>
      <c r="K244" s="223"/>
    </row>
    <row r="245" spans="2:11" x14ac:dyDescent="0.3">
      <c r="B245" s="377" t="s">
        <v>309</v>
      </c>
      <c r="C245" s="261"/>
      <c r="D245" s="435"/>
      <c r="E245" s="435"/>
      <c r="F245" s="435"/>
      <c r="G245" s="435"/>
      <c r="H245" s="435"/>
      <c r="I245" s="261">
        <f t="shared" ref="I245" si="90">(I152+I153+I160+I162)/SUM(I203:I208)</f>
        <v>5.8410950819018065E-2</v>
      </c>
      <c r="J245" s="219"/>
      <c r="K245" s="223"/>
    </row>
    <row r="246" spans="2:11" x14ac:dyDescent="0.3">
      <c r="B246" s="377" t="s">
        <v>310</v>
      </c>
      <c r="C246" s="261"/>
      <c r="D246" s="435"/>
      <c r="E246" s="435"/>
      <c r="F246" s="435"/>
      <c r="G246" s="435"/>
      <c r="H246" s="435"/>
      <c r="I246" s="261">
        <f>(I151+I150+I134)/SUM(I203:I208)</f>
        <v>3.9894337041982385E-2</v>
      </c>
      <c r="J246" s="219"/>
      <c r="K246" s="223"/>
    </row>
    <row r="247" spans="2:11" x14ac:dyDescent="0.3">
      <c r="B247" s="377" t="s">
        <v>311</v>
      </c>
      <c r="C247" s="261"/>
      <c r="D247" s="435"/>
      <c r="E247" s="435"/>
      <c r="F247" s="435"/>
      <c r="G247" s="435"/>
      <c r="H247" s="435"/>
      <c r="I247" s="261">
        <f t="shared" ref="I247" si="91">(I170+I140)/SUM(I203:I208)</f>
        <v>1.7403742181839533E-2</v>
      </c>
      <c r="J247" s="219"/>
      <c r="K247" s="223"/>
    </row>
    <row r="248" spans="2:11" x14ac:dyDescent="0.3">
      <c r="B248" s="377" t="s">
        <v>79</v>
      </c>
      <c r="C248" s="261"/>
      <c r="D248" s="435"/>
      <c r="E248" s="435"/>
      <c r="F248" s="435"/>
      <c r="G248" s="435"/>
      <c r="H248" s="435"/>
      <c r="I248" s="261">
        <f t="shared" ref="I248" si="92">(I138+I142+I143+I144+I145+I146)/SUM(I203:I208)</f>
        <v>2.4624294189963838E-2</v>
      </c>
      <c r="J248" s="219"/>
      <c r="K248" s="223"/>
    </row>
    <row r="249" spans="2:11" x14ac:dyDescent="0.3">
      <c r="B249" s="377" t="s">
        <v>312</v>
      </c>
      <c r="C249" s="261"/>
      <c r="D249" s="435"/>
      <c r="E249" s="435"/>
      <c r="F249" s="435"/>
      <c r="G249" s="435"/>
      <c r="H249" s="435"/>
      <c r="I249" s="261">
        <f>(I177+I201+I206+I207+I208)/SUM(I203:I208)</f>
        <v>0.14530269281825073</v>
      </c>
      <c r="J249" s="219"/>
      <c r="K249" s="223"/>
    </row>
    <row r="250" spans="2:11" x14ac:dyDescent="0.3">
      <c r="B250" s="377" t="s">
        <v>49</v>
      </c>
      <c r="C250" s="261"/>
      <c r="D250" s="435"/>
      <c r="E250" s="435"/>
      <c r="F250" s="435"/>
      <c r="G250" s="435"/>
      <c r="H250" s="435"/>
      <c r="I250" s="261">
        <f t="shared" ref="I250" si="93">(I179)/SUM(I203:I208)</f>
        <v>9.1269575225501692E-2</v>
      </c>
      <c r="J250" s="261"/>
      <c r="K250" s="223"/>
    </row>
    <row r="251" spans="2:11" x14ac:dyDescent="0.3">
      <c r="B251" s="377" t="s">
        <v>171</v>
      </c>
      <c r="C251" s="261"/>
      <c r="D251" s="435"/>
      <c r="E251" s="435"/>
      <c r="F251" s="435"/>
      <c r="G251" s="435"/>
      <c r="H251" s="435"/>
      <c r="I251" s="261">
        <f t="shared" ref="I251" si="94">(I147)/SUM(I203:I208)</f>
        <v>0</v>
      </c>
      <c r="J251" s="219"/>
      <c r="K251" s="223"/>
    </row>
    <row r="252" spans="2:11" x14ac:dyDescent="0.3">
      <c r="B252" s="377" t="s">
        <v>313</v>
      </c>
      <c r="C252" s="261"/>
      <c r="D252" s="435"/>
      <c r="E252" s="435"/>
      <c r="F252" s="435"/>
      <c r="G252" s="435"/>
      <c r="H252" s="435"/>
      <c r="I252" s="261">
        <f t="shared" ref="I252" si="95">I181/SUM(I203:I208)</f>
        <v>8.544880278011992E-4</v>
      </c>
      <c r="J252" s="219"/>
      <c r="K252" s="223"/>
    </row>
    <row r="253" spans="2:11" x14ac:dyDescent="0.3">
      <c r="B253" s="377" t="s">
        <v>314</v>
      </c>
      <c r="C253" s="261"/>
      <c r="D253" s="435"/>
      <c r="E253" s="435"/>
      <c r="F253" s="435"/>
      <c r="G253" s="435"/>
      <c r="H253" s="435"/>
      <c r="I253" s="261">
        <f t="shared" ref="I253" si="96">(I155+I156)/SUM(I203:I208)</f>
        <v>5.0090301811713247E-3</v>
      </c>
      <c r="J253" s="219"/>
      <c r="K253" s="223"/>
    </row>
    <row r="254" spans="2:11" x14ac:dyDescent="0.3">
      <c r="B254" s="377" t="s">
        <v>315</v>
      </c>
      <c r="C254" s="261"/>
      <c r="D254" s="435"/>
      <c r="E254" s="435"/>
      <c r="F254" s="435"/>
      <c r="G254" s="435"/>
      <c r="H254" s="435"/>
      <c r="I254" s="261">
        <f t="shared" ref="I254" si="97">(I157+I158+I165+I166+I167+I169+I171)/SUM(I203:I208)</f>
        <v>9.8799433662352058E-3</v>
      </c>
      <c r="J254" s="219"/>
      <c r="K254" s="223"/>
    </row>
    <row r="255" spans="2:11" x14ac:dyDescent="0.3">
      <c r="B255" s="377" t="s">
        <v>116</v>
      </c>
      <c r="C255" s="261"/>
      <c r="D255" s="435"/>
      <c r="E255" s="435"/>
      <c r="F255" s="435"/>
      <c r="G255" s="435"/>
      <c r="H255" s="435"/>
      <c r="I255" s="261">
        <f>(I159+I168+I180+I182+I183+I185+I187+I133+I186)/SUM(I203:I208)</f>
        <v>1.5955178230195394E-2</v>
      </c>
      <c r="J255" s="261"/>
      <c r="K255" s="223"/>
    </row>
    <row r="256" spans="2:11" x14ac:dyDescent="0.3">
      <c r="B256"/>
      <c r="C256"/>
      <c r="D256"/>
      <c r="E256"/>
      <c r="F256"/>
      <c r="G256"/>
      <c r="H256"/>
      <c r="I256"/>
      <c r="J256" s="219"/>
    </row>
    <row r="257" spans="2:11" x14ac:dyDescent="0.3">
      <c r="B257"/>
      <c r="C257" s="378"/>
      <c r="D257" s="378"/>
      <c r="E257" s="378"/>
      <c r="F257" s="378"/>
      <c r="G257" s="378"/>
      <c r="H257" s="378"/>
      <c r="I257" s="378">
        <f>SUM(I242:I256)</f>
        <v>1.0000000000000002</v>
      </c>
      <c r="J257" s="219"/>
      <c r="K257" s="378"/>
    </row>
    <row r="259" spans="2:11" x14ac:dyDescent="0.3">
      <c r="D259" s="379"/>
      <c r="E259" s="379"/>
      <c r="F259" s="379"/>
      <c r="G259" s="379"/>
      <c r="H259" s="379"/>
      <c r="I259" s="379"/>
    </row>
  </sheetData>
  <pageMargins left="0.7" right="0.7" top="0.75" bottom="0.75" header="0.3" footer="0.3"/>
  <pageSetup scale="51" orientation="portrait" r:id="rId1"/>
  <rowBreaks count="2" manualBreakCount="2">
    <brk id="70" max="8" man="1"/>
    <brk id="148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O28"/>
  <sheetViews>
    <sheetView zoomScale="75" zoomScaleNormal="75" workbookViewId="0">
      <selection activeCell="J12" sqref="J12"/>
    </sheetView>
  </sheetViews>
  <sheetFormatPr defaultColWidth="8.88671875" defaultRowHeight="14.4" x14ac:dyDescent="0.3"/>
  <cols>
    <col min="1" max="2" width="8.88671875" style="214"/>
    <col min="3" max="3" width="22.33203125" style="214" customWidth="1"/>
    <col min="4" max="5" width="17.21875" style="214" bestFit="1" customWidth="1"/>
    <col min="6" max="8" width="15.77734375" style="214" bestFit="1" customWidth="1"/>
    <col min="9" max="9" width="15.77734375" style="214" customWidth="1"/>
    <col min="10" max="10" width="17.21875" style="214" bestFit="1" customWidth="1"/>
    <col min="11" max="11" width="14.5546875" style="214" customWidth="1"/>
    <col min="12" max="12" width="8.88671875" style="214"/>
    <col min="13" max="13" width="14.88671875" style="214" customWidth="1"/>
    <col min="14" max="16384" width="8.88671875" style="214"/>
  </cols>
  <sheetData>
    <row r="1" spans="2:15" x14ac:dyDescent="0.3"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2:15" x14ac:dyDescent="0.3">
      <c r="B2" s="394"/>
      <c r="C2" s="394"/>
      <c r="D2" s="382" t="str">
        <f>'6-Year (auto-populated)'!D1</f>
        <v>22-23</v>
      </c>
      <c r="E2" s="478" t="str">
        <f>'6-Year (auto-populated)'!E1</f>
        <v>23-24</v>
      </c>
      <c r="F2" s="478" t="str">
        <f>'6-Year (auto-populated)'!F1</f>
        <v>24-25</v>
      </c>
      <c r="G2" s="478" t="str">
        <f>'6-Year (auto-populated)'!G1</f>
        <v>25-26</v>
      </c>
      <c r="H2" s="478" t="str">
        <f>'6-Year (auto-populated)'!H1</f>
        <v>26-27</v>
      </c>
      <c r="I2" s="478" t="str">
        <f>'6-Year (auto-populated)'!I1</f>
        <v>27-28</v>
      </c>
      <c r="J2" s="394"/>
      <c r="K2" s="394"/>
      <c r="L2" s="394"/>
    </row>
    <row r="3" spans="2:15" x14ac:dyDescent="0.3">
      <c r="B3" s="394"/>
      <c r="C3" s="395" t="s">
        <v>166</v>
      </c>
      <c r="D3" s="396">
        <f>'6-Year (auto-populated)'!D5</f>
        <v>110</v>
      </c>
      <c r="E3" s="396">
        <f>'6-Year (auto-populated)'!E5</f>
        <v>300</v>
      </c>
      <c r="F3" s="396">
        <f>'6-Year (auto-populated)'!F5</f>
        <v>450</v>
      </c>
      <c r="G3" s="396">
        <f>'6-Year (auto-populated)'!G5</f>
        <v>540</v>
      </c>
      <c r="H3" s="396">
        <f>'6-Year (auto-populated)'!H5</f>
        <v>570</v>
      </c>
      <c r="I3" s="396">
        <f>'6-Year (auto-populated)'!I5</f>
        <v>600</v>
      </c>
      <c r="J3" s="394"/>
      <c r="K3" s="394"/>
      <c r="L3" s="394"/>
    </row>
    <row r="4" spans="2:15" ht="28.2" x14ac:dyDescent="0.3">
      <c r="B4" s="394"/>
      <c r="C4" s="397" t="s">
        <v>165</v>
      </c>
      <c r="D4" s="398">
        <f>D3*1000</f>
        <v>110000</v>
      </c>
      <c r="E4" s="398">
        <f>(E3-D3)*1000</f>
        <v>190000</v>
      </c>
      <c r="F4" s="398">
        <f>(F3-E3)*1000</f>
        <v>150000</v>
      </c>
      <c r="G4" s="398">
        <f>(G3-F3)*1000</f>
        <v>90000</v>
      </c>
      <c r="H4" s="398">
        <f t="shared" ref="H4:I4" si="0">(H3-G3)*1000</f>
        <v>30000</v>
      </c>
      <c r="I4" s="398">
        <f t="shared" si="0"/>
        <v>30000</v>
      </c>
      <c r="J4" s="394"/>
      <c r="K4" s="394"/>
      <c r="L4" s="394"/>
    </row>
    <row r="5" spans="2:15" x14ac:dyDescent="0.3">
      <c r="B5" s="394"/>
      <c r="C5" s="399"/>
      <c r="D5" s="400"/>
      <c r="E5" s="400"/>
      <c r="F5" s="400"/>
      <c r="G5" s="400"/>
      <c r="H5" s="400"/>
      <c r="I5" s="400"/>
      <c r="J5" s="394"/>
      <c r="K5" s="394"/>
      <c r="L5" s="394"/>
    </row>
    <row r="6" spans="2:15" x14ac:dyDescent="0.3">
      <c r="B6" s="394"/>
      <c r="C6" s="401" t="s">
        <v>164</v>
      </c>
      <c r="D6" s="382" t="s">
        <v>163</v>
      </c>
      <c r="E6" s="382" t="s">
        <v>162</v>
      </c>
      <c r="F6" s="382" t="s">
        <v>161</v>
      </c>
      <c r="G6" s="382" t="s">
        <v>160</v>
      </c>
      <c r="H6" s="382" t="s">
        <v>159</v>
      </c>
      <c r="I6" s="417" t="s">
        <v>216</v>
      </c>
      <c r="J6" s="401" t="s">
        <v>158</v>
      </c>
      <c r="K6" s="401" t="s">
        <v>157</v>
      </c>
      <c r="L6" s="394"/>
    </row>
    <row r="7" spans="2:15" x14ac:dyDescent="0.3">
      <c r="B7" s="551"/>
      <c r="C7" s="401">
        <v>2022</v>
      </c>
      <c r="D7" s="402"/>
      <c r="E7" s="398"/>
      <c r="F7" s="398">
        <v>0</v>
      </c>
      <c r="G7" s="398">
        <v>0</v>
      </c>
      <c r="H7" s="398">
        <v>0</v>
      </c>
      <c r="I7" s="398"/>
      <c r="J7" s="403">
        <f>SUM(D7:I7)</f>
        <v>0</v>
      </c>
      <c r="K7" s="404" t="s">
        <v>155</v>
      </c>
      <c r="L7" s="394"/>
      <c r="M7" s="242">
        <f>'6-Year (auto-populated)'!D140</f>
        <v>0</v>
      </c>
      <c r="N7" s="243" t="str">
        <f t="shared" ref="N7:N12" si="1">IF(M7&gt;J7,"OK","NO")</f>
        <v>NO</v>
      </c>
      <c r="O7" s="214" t="b">
        <f>M7=D4</f>
        <v>0</v>
      </c>
    </row>
    <row r="8" spans="2:15" x14ac:dyDescent="0.3">
      <c r="B8" s="551"/>
      <c r="C8" s="401">
        <v>2023</v>
      </c>
      <c r="D8" s="402"/>
      <c r="E8" s="402"/>
      <c r="F8" s="398">
        <v>0</v>
      </c>
      <c r="G8" s="398">
        <v>0</v>
      </c>
      <c r="H8" s="398">
        <v>0</v>
      </c>
      <c r="I8" s="398"/>
      <c r="J8" s="403">
        <f t="shared" ref="J8:J16" si="2">SUM(D8:I8)</f>
        <v>0</v>
      </c>
      <c r="K8" s="404" t="s">
        <v>154</v>
      </c>
      <c r="L8" s="394"/>
      <c r="M8" s="242">
        <f>'6-Year (auto-populated)'!E140</f>
        <v>0</v>
      </c>
      <c r="N8" s="243" t="str">
        <f t="shared" si="1"/>
        <v>NO</v>
      </c>
      <c r="O8" s="214" t="b">
        <f>M8=E4</f>
        <v>0</v>
      </c>
    </row>
    <row r="9" spans="2:15" x14ac:dyDescent="0.3">
      <c r="B9" s="551"/>
      <c r="C9" s="401">
        <v>2024</v>
      </c>
      <c r="D9" s="402"/>
      <c r="E9" s="402"/>
      <c r="F9" s="402">
        <f>27635.12</f>
        <v>27635.119999999999</v>
      </c>
      <c r="G9" s="398">
        <v>0</v>
      </c>
      <c r="H9" s="398">
        <v>0</v>
      </c>
      <c r="I9" s="398"/>
      <c r="J9" s="403">
        <f t="shared" si="2"/>
        <v>27635.119999999999</v>
      </c>
      <c r="K9" s="404" t="s">
        <v>153</v>
      </c>
      <c r="L9" s="394"/>
      <c r="M9" s="242">
        <f>'6-Year (auto-populated)'!F140</f>
        <v>28000</v>
      </c>
      <c r="N9" s="243" t="str">
        <f t="shared" si="1"/>
        <v>OK</v>
      </c>
      <c r="O9" s="214" t="b">
        <f>M9=F4</f>
        <v>0</v>
      </c>
    </row>
    <row r="10" spans="2:15" x14ac:dyDescent="0.3">
      <c r="B10" s="551"/>
      <c r="C10" s="401">
        <v>2025</v>
      </c>
      <c r="D10" s="402"/>
      <c r="E10" s="402"/>
      <c r="F10" s="402">
        <v>41452.68</v>
      </c>
      <c r="G10" s="398">
        <v>16581.12</v>
      </c>
      <c r="H10" s="398">
        <v>0</v>
      </c>
      <c r="I10" s="398"/>
      <c r="J10" s="403">
        <f t="shared" si="2"/>
        <v>58033.8</v>
      </c>
      <c r="K10" s="404" t="s">
        <v>152</v>
      </c>
      <c r="L10" s="394"/>
      <c r="M10" s="242">
        <f>'6-Year (auto-populated)'!G140</f>
        <v>60000</v>
      </c>
      <c r="N10" s="243" t="str">
        <f t="shared" si="1"/>
        <v>OK</v>
      </c>
      <c r="O10" s="214" t="b">
        <f>G4=M10</f>
        <v>0</v>
      </c>
    </row>
    <row r="11" spans="2:15" x14ac:dyDescent="0.3">
      <c r="B11" s="551"/>
      <c r="C11" s="401">
        <v>2026</v>
      </c>
      <c r="D11" s="398"/>
      <c r="E11" s="402"/>
      <c r="F11" s="402">
        <v>41452.68</v>
      </c>
      <c r="G11" s="398">
        <v>24871.68</v>
      </c>
      <c r="H11" s="398">
        <v>5527.04</v>
      </c>
      <c r="I11" s="398"/>
      <c r="J11" s="403">
        <f t="shared" si="2"/>
        <v>71851.399999999994</v>
      </c>
      <c r="K11" s="404" t="s">
        <v>192</v>
      </c>
      <c r="L11" s="394"/>
      <c r="M11" s="242">
        <f>'6-Year (auto-populated)'!H140</f>
        <v>75000</v>
      </c>
      <c r="N11" s="243" t="str">
        <f t="shared" si="1"/>
        <v>OK</v>
      </c>
      <c r="O11" s="214" t="b">
        <f>H4=M11</f>
        <v>0</v>
      </c>
    </row>
    <row r="12" spans="2:15" x14ac:dyDescent="0.3">
      <c r="B12" s="551"/>
      <c r="C12" s="401">
        <v>2027</v>
      </c>
      <c r="D12" s="398"/>
      <c r="E12" s="398"/>
      <c r="F12" s="402">
        <v>41452.68</v>
      </c>
      <c r="G12" s="398">
        <v>24871.68</v>
      </c>
      <c r="H12" s="398">
        <v>8290.56</v>
      </c>
      <c r="I12" s="398">
        <v>5527.04</v>
      </c>
      <c r="J12" s="403">
        <f t="shared" si="2"/>
        <v>80141.959999999992</v>
      </c>
      <c r="K12" s="404" t="s">
        <v>378</v>
      </c>
      <c r="L12" s="394"/>
      <c r="M12" s="242">
        <f>'6-Year (auto-populated)'!I140</f>
        <v>81000</v>
      </c>
      <c r="N12" s="243" t="str">
        <f t="shared" si="1"/>
        <v>OK</v>
      </c>
      <c r="O12" s="214" t="b">
        <f>M12=I4</f>
        <v>0</v>
      </c>
    </row>
    <row r="13" spans="2:15" x14ac:dyDescent="0.3">
      <c r="B13" s="551"/>
      <c r="C13" s="401">
        <v>2028</v>
      </c>
      <c r="D13" s="398"/>
      <c r="E13" s="398"/>
      <c r="F13" s="398">
        <f>13817.56+(F4*0.05)</f>
        <v>21317.559999999998</v>
      </c>
      <c r="G13" s="398">
        <v>24871.68</v>
      </c>
      <c r="H13" s="398">
        <v>8290.56</v>
      </c>
      <c r="I13" s="398">
        <v>8290.56</v>
      </c>
      <c r="J13" s="403">
        <f t="shared" si="2"/>
        <v>62770.359999999993</v>
      </c>
      <c r="K13" s="405"/>
      <c r="L13" s="394"/>
    </row>
    <row r="14" spans="2:15" x14ac:dyDescent="0.3">
      <c r="B14" s="551"/>
      <c r="C14" s="401">
        <v>2029</v>
      </c>
      <c r="D14" s="398"/>
      <c r="E14" s="398"/>
      <c r="F14" s="398">
        <v>0</v>
      </c>
      <c r="G14" s="398">
        <f>8290.56+(G4*0.05)</f>
        <v>12790.56</v>
      </c>
      <c r="H14" s="398">
        <v>8290.56</v>
      </c>
      <c r="I14" s="398">
        <v>8290.56</v>
      </c>
      <c r="J14" s="403">
        <f t="shared" si="2"/>
        <v>29371.68</v>
      </c>
      <c r="K14" s="405"/>
      <c r="L14" s="394"/>
    </row>
    <row r="15" spans="2:15" x14ac:dyDescent="0.3">
      <c r="B15" s="394"/>
      <c r="C15" s="401">
        <v>2030</v>
      </c>
      <c r="D15" s="398"/>
      <c r="E15" s="398"/>
      <c r="F15" s="398">
        <v>0</v>
      </c>
      <c r="G15" s="398">
        <v>0</v>
      </c>
      <c r="H15" s="398">
        <f>2763.52+(H4*0.05)</f>
        <v>4263.5200000000004</v>
      </c>
      <c r="I15" s="398">
        <v>8290.56</v>
      </c>
      <c r="J15" s="403">
        <f t="shared" si="2"/>
        <v>12554.08</v>
      </c>
      <c r="K15" s="405"/>
      <c r="L15" s="394"/>
    </row>
    <row r="16" spans="2:15" x14ac:dyDescent="0.3">
      <c r="B16" s="394"/>
      <c r="C16" s="401">
        <v>2031</v>
      </c>
      <c r="D16" s="398"/>
      <c r="E16" s="398"/>
      <c r="F16" s="398">
        <v>0</v>
      </c>
      <c r="G16" s="398">
        <v>0</v>
      </c>
      <c r="H16" s="398">
        <v>0</v>
      </c>
      <c r="I16" s="398">
        <f>2763.52+(I4*0.05)</f>
        <v>4263.5200000000004</v>
      </c>
      <c r="J16" s="403">
        <f t="shared" si="2"/>
        <v>4263.5200000000004</v>
      </c>
      <c r="K16" s="405"/>
      <c r="L16" s="394"/>
    </row>
    <row r="17" spans="2:12" x14ac:dyDescent="0.3">
      <c r="B17" s="394"/>
      <c r="C17" s="394"/>
      <c r="D17" s="394"/>
      <c r="E17" s="394"/>
      <c r="F17" s="394"/>
      <c r="G17" s="394"/>
      <c r="H17" s="394"/>
      <c r="I17" s="394"/>
      <c r="J17" s="394"/>
      <c r="K17" s="394"/>
      <c r="L17" s="394"/>
    </row>
    <row r="18" spans="2:12" x14ac:dyDescent="0.3">
      <c r="B18" s="394"/>
      <c r="C18" s="406"/>
      <c r="D18" s="394" t="s">
        <v>439</v>
      </c>
      <c r="E18" s="394" t="s">
        <v>439</v>
      </c>
      <c r="F18" s="394"/>
      <c r="G18" s="394"/>
      <c r="H18" s="394"/>
      <c r="I18" s="394"/>
      <c r="J18" s="394"/>
      <c r="K18" s="394"/>
      <c r="L18" s="394"/>
    </row>
    <row r="21" spans="2:12" x14ac:dyDescent="0.3">
      <c r="D21" s="215"/>
    </row>
    <row r="22" spans="2:12" x14ac:dyDescent="0.3">
      <c r="D22" s="216"/>
      <c r="H22" s="217"/>
      <c r="I22" s="217"/>
    </row>
    <row r="23" spans="2:12" x14ac:dyDescent="0.3">
      <c r="H23" s="217"/>
      <c r="I23" s="217"/>
    </row>
    <row r="24" spans="2:12" x14ac:dyDescent="0.3">
      <c r="H24" s="217"/>
      <c r="I24" s="217"/>
    </row>
    <row r="25" spans="2:12" x14ac:dyDescent="0.3">
      <c r="H25" s="217"/>
      <c r="I25" s="217"/>
    </row>
    <row r="26" spans="2:12" x14ac:dyDescent="0.3">
      <c r="H26" s="217"/>
      <c r="I26" s="217"/>
    </row>
    <row r="27" spans="2:12" x14ac:dyDescent="0.3">
      <c r="H27" s="217"/>
      <c r="I27" s="217"/>
    </row>
    <row r="28" spans="2:12" x14ac:dyDescent="0.3">
      <c r="H28" s="217"/>
      <c r="I28" s="217"/>
    </row>
  </sheetData>
  <mergeCells count="1">
    <mergeCell ref="B7:B14"/>
  </mergeCells>
  <pageMargins left="0.7" right="0.7" top="0.75" bottom="0.75" header="0.3" footer="0.3"/>
  <pageSetup scale="58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259"/>
  <sheetViews>
    <sheetView tabSelected="1" topLeftCell="A171" zoomScale="75" zoomScaleNormal="75" workbookViewId="0">
      <selection activeCell="D211" sqref="D211"/>
    </sheetView>
  </sheetViews>
  <sheetFormatPr defaultColWidth="8.77734375" defaultRowHeight="14.4" x14ac:dyDescent="0.3"/>
  <cols>
    <col min="1" max="1" width="8.77734375" style="5"/>
    <col min="2" max="2" width="56.5546875" style="219" customWidth="1"/>
    <col min="3" max="9" width="15.77734375" style="125" customWidth="1"/>
    <col min="10" max="10" width="15.109375" style="240" customWidth="1"/>
    <col min="11" max="11" width="15.21875" style="219" bestFit="1" customWidth="1"/>
    <col min="12" max="12" width="12.21875" style="219" customWidth="1"/>
    <col min="13" max="13" width="13.33203125" style="219" bestFit="1" customWidth="1"/>
    <col min="14" max="16" width="11.109375" style="219" bestFit="1" customWidth="1"/>
    <col min="17" max="16384" width="8.77734375" style="219"/>
  </cols>
  <sheetData>
    <row r="1" spans="1:17" s="2" customFormat="1" ht="15" thickBot="1" x14ac:dyDescent="0.35">
      <c r="A1" s="1"/>
      <c r="B1" s="3" t="s">
        <v>348</v>
      </c>
      <c r="C1" s="3" t="s">
        <v>327</v>
      </c>
      <c r="D1" s="3" t="s">
        <v>149</v>
      </c>
      <c r="E1" s="3" t="s">
        <v>150</v>
      </c>
      <c r="F1" s="3" t="s">
        <v>151</v>
      </c>
      <c r="G1" s="3" t="s">
        <v>191</v>
      </c>
      <c r="H1" s="3" t="s">
        <v>194</v>
      </c>
      <c r="I1" s="3" t="s">
        <v>328</v>
      </c>
      <c r="J1" s="224"/>
      <c r="K1" s="3">
        <v>7197</v>
      </c>
      <c r="L1" s="548" t="str">
        <f>E1</f>
        <v>23-24</v>
      </c>
      <c r="M1" s="548" t="str">
        <f t="shared" ref="M1:O1" si="0">F1</f>
        <v>24-25</v>
      </c>
      <c r="N1" s="548" t="str">
        <f t="shared" si="0"/>
        <v>25-26</v>
      </c>
      <c r="O1" s="548" t="str">
        <f t="shared" si="0"/>
        <v>26-27</v>
      </c>
      <c r="P1" s="548" t="str">
        <f>I1</f>
        <v>27-28</v>
      </c>
    </row>
    <row r="2" spans="1:17" x14ac:dyDescent="0.3">
      <c r="B2" s="6" t="s">
        <v>329</v>
      </c>
      <c r="C2" s="140">
        <f>'21-22'!I2</f>
        <v>0</v>
      </c>
      <c r="D2" s="140">
        <f>'22-23'!J2</f>
        <v>7293.18</v>
      </c>
      <c r="E2" s="140">
        <f>'23-24'!J2</f>
        <v>7387.9913399999996</v>
      </c>
      <c r="F2" s="140">
        <f>'24-25'!I2</f>
        <v>7484.0352274199986</v>
      </c>
      <c r="G2" s="140">
        <f>'25-26'!I2</f>
        <v>7581.3276853764582</v>
      </c>
      <c r="H2" s="140">
        <f>'26-27'!I2</f>
        <v>7679.8849452863515</v>
      </c>
      <c r="I2" s="140">
        <f>'27-28'!I2</f>
        <v>7779.7234495750736</v>
      </c>
      <c r="J2" s="168"/>
      <c r="K2" s="169">
        <f>(D2-K1)/K1</f>
        <v>1.3363901625677407E-2</v>
      </c>
      <c r="L2" s="169">
        <f>(E2-D2)/D2</f>
        <v>1.2999999999999902E-2</v>
      </c>
      <c r="M2" s="169">
        <f>(F2-E2)/E2</f>
        <v>1.2999999999999866E-2</v>
      </c>
      <c r="N2" s="169">
        <f>(G2-F2)/F2</f>
        <v>1.2999999999999956E-2</v>
      </c>
      <c r="O2" s="169">
        <f>(H2-G2)/G2</f>
        <v>1.2999999999999902E-2</v>
      </c>
      <c r="P2" s="169">
        <f>(I2-H2)/H2</f>
        <v>1.299999999999994E-2</v>
      </c>
    </row>
    <row r="3" spans="1:17" hidden="1" x14ac:dyDescent="0.3">
      <c r="B3" s="9"/>
      <c r="C3" s="157"/>
      <c r="D3" s="157"/>
      <c r="E3" s="157"/>
      <c r="F3" s="157"/>
      <c r="G3" s="157"/>
      <c r="H3" s="157"/>
      <c r="I3" s="157"/>
      <c r="J3" s="168"/>
      <c r="K3" s="169"/>
      <c r="L3" s="169"/>
      <c r="M3" s="169"/>
      <c r="N3" s="169"/>
      <c r="O3" s="169"/>
      <c r="P3" s="169"/>
    </row>
    <row r="4" spans="1:17" hidden="1" x14ac:dyDescent="0.3">
      <c r="B4" s="9"/>
      <c r="C4" s="157"/>
      <c r="D4" s="157"/>
      <c r="E4" s="157"/>
      <c r="F4" s="157"/>
      <c r="G4" s="157"/>
      <c r="H4" s="157"/>
      <c r="I4" s="157"/>
      <c r="J4" s="168"/>
      <c r="K4" s="169"/>
      <c r="L4" s="169"/>
      <c r="M4" s="169"/>
      <c r="N4" s="169"/>
      <c r="O4" s="169"/>
      <c r="P4" s="169"/>
    </row>
    <row r="5" spans="1:17" x14ac:dyDescent="0.3">
      <c r="B5" s="9" t="s">
        <v>1</v>
      </c>
      <c r="C5" s="141">
        <f t="shared" ref="C5:I5" si="1">C6+C7+C8+C9+C10+C11+C12+C13+C14+C15+C16+C17+C18</f>
        <v>0</v>
      </c>
      <c r="D5" s="141">
        <f t="shared" si="1"/>
        <v>110</v>
      </c>
      <c r="E5" s="141">
        <f t="shared" si="1"/>
        <v>300</v>
      </c>
      <c r="F5" s="141">
        <f t="shared" si="1"/>
        <v>450</v>
      </c>
      <c r="G5" s="141">
        <f t="shared" si="1"/>
        <v>540</v>
      </c>
      <c r="H5" s="141">
        <f t="shared" si="1"/>
        <v>570</v>
      </c>
      <c r="I5" s="141">
        <f t="shared" si="1"/>
        <v>600</v>
      </c>
      <c r="J5" s="225"/>
    </row>
    <row r="6" spans="1:17" x14ac:dyDescent="0.3">
      <c r="B6" s="12" t="s">
        <v>2</v>
      </c>
      <c r="C6" s="142">
        <f>'21-22'!I6</f>
        <v>0</v>
      </c>
      <c r="D6" s="142">
        <f>'22-23'!J6</f>
        <v>0</v>
      </c>
      <c r="E6" s="142">
        <f>'23-24'!J6</f>
        <v>0</v>
      </c>
      <c r="F6" s="142">
        <f>'24-25'!I6</f>
        <v>0</v>
      </c>
      <c r="G6" s="142">
        <f>'25-26'!I6</f>
        <v>0</v>
      </c>
      <c r="H6" s="142">
        <f>'26-27'!I6</f>
        <v>0</v>
      </c>
      <c r="I6" s="142">
        <f>'27-28'!I6</f>
        <v>0</v>
      </c>
      <c r="J6" s="225"/>
      <c r="K6" s="166">
        <f>D6/26</f>
        <v>0</v>
      </c>
      <c r="L6" s="166">
        <f>E6/28</f>
        <v>0</v>
      </c>
      <c r="M6" s="166">
        <f t="shared" ref="M6:P11" si="2">F6/28</f>
        <v>0</v>
      </c>
      <c r="N6" s="166">
        <f t="shared" si="2"/>
        <v>0</v>
      </c>
      <c r="O6" s="166">
        <f>H6/28</f>
        <v>0</v>
      </c>
      <c r="P6" s="166">
        <f>I6/28</f>
        <v>0</v>
      </c>
      <c r="Q6" s="166"/>
    </row>
    <row r="7" spans="1:17" x14ac:dyDescent="0.3">
      <c r="B7" s="15" t="s">
        <v>3</v>
      </c>
      <c r="C7" s="142">
        <f>'21-22'!I7</f>
        <v>0</v>
      </c>
      <c r="D7" s="142">
        <f>'22-23'!J7</f>
        <v>0</v>
      </c>
      <c r="E7" s="142">
        <f>'23-24'!J7</f>
        <v>0</v>
      </c>
      <c r="F7" s="142">
        <f>'24-25'!I7</f>
        <v>0</v>
      </c>
      <c r="G7" s="142">
        <f>'25-26'!I7</f>
        <v>0</v>
      </c>
      <c r="H7" s="142">
        <f>'26-27'!I7</f>
        <v>0</v>
      </c>
      <c r="I7" s="142">
        <f>'27-28'!I7</f>
        <v>0</v>
      </c>
      <c r="J7" s="225"/>
      <c r="K7" s="166">
        <f t="shared" ref="K7:L11" si="3">D7/26</f>
        <v>0</v>
      </c>
      <c r="L7" s="166">
        <f>E7/28</f>
        <v>0</v>
      </c>
      <c r="M7" s="166">
        <f t="shared" si="2"/>
        <v>0</v>
      </c>
      <c r="N7" s="166">
        <f t="shared" si="2"/>
        <v>0</v>
      </c>
      <c r="O7" s="166">
        <f t="shared" si="2"/>
        <v>0</v>
      </c>
      <c r="P7" s="166">
        <f t="shared" si="2"/>
        <v>0</v>
      </c>
      <c r="Q7" s="166"/>
    </row>
    <row r="8" spans="1:17" x14ac:dyDescent="0.3">
      <c r="B8" s="15" t="s">
        <v>4</v>
      </c>
      <c r="C8" s="142">
        <f>'21-22'!I8</f>
        <v>0</v>
      </c>
      <c r="D8" s="142">
        <f>'22-23'!J8</f>
        <v>0</v>
      </c>
      <c r="E8" s="142">
        <f>'23-24'!J8</f>
        <v>0</v>
      </c>
      <c r="F8" s="142">
        <f>'24-25'!I8</f>
        <v>0</v>
      </c>
      <c r="G8" s="142">
        <f>'25-26'!I8</f>
        <v>0</v>
      </c>
      <c r="H8" s="142">
        <f>'26-27'!I8</f>
        <v>0</v>
      </c>
      <c r="I8" s="142">
        <f>'27-28'!I8</f>
        <v>0</v>
      </c>
      <c r="J8" s="225"/>
      <c r="K8" s="166">
        <f t="shared" si="3"/>
        <v>0</v>
      </c>
      <c r="L8" s="166">
        <f>E8/28</f>
        <v>0</v>
      </c>
      <c r="M8" s="166">
        <f t="shared" si="2"/>
        <v>0</v>
      </c>
      <c r="N8" s="166">
        <f t="shared" si="2"/>
        <v>0</v>
      </c>
      <c r="O8" s="166">
        <f t="shared" si="2"/>
        <v>0</v>
      </c>
      <c r="P8" s="166">
        <f t="shared" si="2"/>
        <v>0</v>
      </c>
      <c r="Q8" s="166"/>
    </row>
    <row r="9" spans="1:17" x14ac:dyDescent="0.3">
      <c r="B9" s="16" t="s">
        <v>5</v>
      </c>
      <c r="C9" s="142">
        <f>'21-22'!I9</f>
        <v>0</v>
      </c>
      <c r="D9" s="142">
        <f>'22-23'!J9</f>
        <v>0</v>
      </c>
      <c r="E9" s="142">
        <f>'23-24'!J9</f>
        <v>0</v>
      </c>
      <c r="F9" s="142">
        <f>'24-25'!I9</f>
        <v>0</v>
      </c>
      <c r="G9" s="142">
        <f>'25-26'!I9</f>
        <v>0</v>
      </c>
      <c r="H9" s="142">
        <f>'26-27'!I9</f>
        <v>0</v>
      </c>
      <c r="I9" s="142">
        <f>'27-28'!I9</f>
        <v>0</v>
      </c>
      <c r="J9" s="225"/>
      <c r="K9" s="166">
        <f t="shared" si="3"/>
        <v>0</v>
      </c>
      <c r="L9" s="166">
        <f>E9/28</f>
        <v>0</v>
      </c>
      <c r="M9" s="166">
        <f t="shared" si="2"/>
        <v>0</v>
      </c>
      <c r="N9" s="166">
        <f t="shared" si="2"/>
        <v>0</v>
      </c>
      <c r="O9" s="166">
        <f t="shared" si="2"/>
        <v>0</v>
      </c>
      <c r="P9" s="166">
        <f t="shared" si="2"/>
        <v>0</v>
      </c>
      <c r="Q9" s="166"/>
    </row>
    <row r="10" spans="1:17" x14ac:dyDescent="0.3">
      <c r="B10" s="16" t="s">
        <v>6</v>
      </c>
      <c r="C10" s="142">
        <f>'21-22'!I10</f>
        <v>0</v>
      </c>
      <c r="D10" s="142">
        <f>'22-23'!J10</f>
        <v>0</v>
      </c>
      <c r="E10" s="142">
        <f>'23-24'!J10</f>
        <v>0</v>
      </c>
      <c r="F10" s="142">
        <f>'24-25'!I10</f>
        <v>0</v>
      </c>
      <c r="G10" s="142">
        <f>'25-26'!I10</f>
        <v>0</v>
      </c>
      <c r="H10" s="142">
        <f>'26-27'!I10</f>
        <v>0</v>
      </c>
      <c r="I10" s="142">
        <f>'27-28'!I10</f>
        <v>0</v>
      </c>
      <c r="J10" s="225"/>
      <c r="K10" s="166">
        <f t="shared" si="3"/>
        <v>0</v>
      </c>
      <c r="L10" s="166">
        <f>E10/26</f>
        <v>0</v>
      </c>
      <c r="M10" s="166">
        <f>F10/28</f>
        <v>0</v>
      </c>
      <c r="N10" s="166">
        <f t="shared" si="2"/>
        <v>0</v>
      </c>
      <c r="O10" s="166">
        <f t="shared" si="2"/>
        <v>0</v>
      </c>
      <c r="P10" s="166">
        <f t="shared" si="2"/>
        <v>0</v>
      </c>
      <c r="Q10" s="166"/>
    </row>
    <row r="11" spans="1:17" x14ac:dyDescent="0.3">
      <c r="B11" s="16" t="s">
        <v>7</v>
      </c>
      <c r="C11" s="142">
        <f>'21-22'!I11</f>
        <v>0</v>
      </c>
      <c r="D11" s="142">
        <f>'22-23'!J11</f>
        <v>0</v>
      </c>
      <c r="E11" s="142">
        <f>'23-24'!J11</f>
        <v>0</v>
      </c>
      <c r="F11" s="142">
        <f>'24-25'!I11</f>
        <v>0</v>
      </c>
      <c r="G11" s="142">
        <f>'25-26'!I11</f>
        <v>0</v>
      </c>
      <c r="H11" s="142">
        <f>'26-27'!I11</f>
        <v>0</v>
      </c>
      <c r="I11" s="142">
        <f>'27-28'!I11</f>
        <v>0</v>
      </c>
      <c r="J11" s="225"/>
      <c r="K11" s="166">
        <f t="shared" si="3"/>
        <v>0</v>
      </c>
      <c r="L11" s="166">
        <f t="shared" si="3"/>
        <v>0</v>
      </c>
      <c r="M11" s="166">
        <f>F11/26</f>
        <v>0</v>
      </c>
      <c r="N11" s="166">
        <f t="shared" si="2"/>
        <v>0</v>
      </c>
      <c r="O11" s="166">
        <f t="shared" si="2"/>
        <v>0</v>
      </c>
      <c r="P11" s="166">
        <f t="shared" si="2"/>
        <v>0</v>
      </c>
      <c r="Q11" s="166"/>
    </row>
    <row r="12" spans="1:17" x14ac:dyDescent="0.3">
      <c r="B12" s="16" t="s">
        <v>8</v>
      </c>
      <c r="C12" s="142">
        <f>'21-22'!I12</f>
        <v>0</v>
      </c>
      <c r="D12" s="142">
        <f>'22-23'!J12</f>
        <v>80</v>
      </c>
      <c r="E12" s="142">
        <f>'23-24'!J12</f>
        <v>90</v>
      </c>
      <c r="F12" s="142">
        <f>'24-25'!I12</f>
        <v>90</v>
      </c>
      <c r="G12" s="142">
        <f>'25-26'!I12</f>
        <v>90</v>
      </c>
      <c r="H12" s="142">
        <f>'26-27'!I12</f>
        <v>90</v>
      </c>
      <c r="I12" s="142">
        <f>'27-28'!I12</f>
        <v>90</v>
      </c>
      <c r="J12" s="225"/>
      <c r="K12" s="166">
        <v>3</v>
      </c>
      <c r="L12" s="166">
        <f t="shared" ref="L12:P18" si="4">E12/30</f>
        <v>3</v>
      </c>
      <c r="M12" s="166">
        <f t="shared" si="4"/>
        <v>3</v>
      </c>
      <c r="N12" s="166">
        <f t="shared" si="4"/>
        <v>3</v>
      </c>
      <c r="O12" s="166">
        <f t="shared" si="4"/>
        <v>3</v>
      </c>
      <c r="P12" s="166">
        <f t="shared" si="4"/>
        <v>3</v>
      </c>
      <c r="Q12" s="166"/>
    </row>
    <row r="13" spans="1:17" x14ac:dyDescent="0.3">
      <c r="B13" s="16" t="s">
        <v>9</v>
      </c>
      <c r="C13" s="142">
        <f>'21-22'!I13</f>
        <v>0</v>
      </c>
      <c r="D13" s="142">
        <f>'22-23'!J13</f>
        <v>0</v>
      </c>
      <c r="E13" s="142">
        <f>'23-24'!J13</f>
        <v>90</v>
      </c>
      <c r="F13" s="142">
        <f>'24-25'!I13</f>
        <v>90</v>
      </c>
      <c r="G13" s="142">
        <f>'25-26'!I13</f>
        <v>90</v>
      </c>
      <c r="H13" s="142">
        <f>'26-27'!I13</f>
        <v>90</v>
      </c>
      <c r="I13" s="142">
        <f>'27-28'!I13</f>
        <v>90</v>
      </c>
      <c r="J13" s="225"/>
      <c r="K13" s="166">
        <f t="shared" ref="K13:K18" si="5">D13/30</f>
        <v>0</v>
      </c>
      <c r="L13" s="166">
        <f t="shared" si="4"/>
        <v>3</v>
      </c>
      <c r="M13" s="166">
        <f t="shared" si="4"/>
        <v>3</v>
      </c>
      <c r="N13" s="166">
        <f t="shared" si="4"/>
        <v>3</v>
      </c>
      <c r="O13" s="166">
        <f t="shared" si="4"/>
        <v>3</v>
      </c>
      <c r="P13" s="166">
        <f t="shared" si="4"/>
        <v>3</v>
      </c>
      <c r="Q13" s="166"/>
    </row>
    <row r="14" spans="1:17" x14ac:dyDescent="0.3">
      <c r="B14" s="16" t="s">
        <v>10</v>
      </c>
      <c r="C14" s="142">
        <f>'21-22'!I14</f>
        <v>0</v>
      </c>
      <c r="D14" s="142">
        <f>'22-23'!J14</f>
        <v>0</v>
      </c>
      <c r="E14" s="142">
        <f>'23-24'!J14</f>
        <v>0</v>
      </c>
      <c r="F14" s="142">
        <f>'24-25'!I14</f>
        <v>90</v>
      </c>
      <c r="G14" s="142">
        <f>'25-26'!I14</f>
        <v>90</v>
      </c>
      <c r="H14" s="142">
        <f>'26-27'!I14</f>
        <v>90</v>
      </c>
      <c r="I14" s="142">
        <f>'27-28'!I14</f>
        <v>90</v>
      </c>
      <c r="J14" s="225"/>
      <c r="K14" s="166">
        <f t="shared" si="5"/>
        <v>0</v>
      </c>
      <c r="L14" s="166">
        <f t="shared" si="4"/>
        <v>0</v>
      </c>
      <c r="M14" s="166">
        <f t="shared" si="4"/>
        <v>3</v>
      </c>
      <c r="N14" s="166">
        <f t="shared" si="4"/>
        <v>3</v>
      </c>
      <c r="O14" s="166">
        <f t="shared" si="4"/>
        <v>3</v>
      </c>
      <c r="P14" s="166">
        <f t="shared" si="4"/>
        <v>3</v>
      </c>
      <c r="Q14" s="166"/>
    </row>
    <row r="15" spans="1:17" x14ac:dyDescent="0.3">
      <c r="B15" s="16" t="s">
        <v>11</v>
      </c>
      <c r="C15" s="142">
        <f>'21-22'!I15</f>
        <v>0</v>
      </c>
      <c r="D15" s="142">
        <f>'22-23'!J15</f>
        <v>30</v>
      </c>
      <c r="E15" s="142">
        <f>'23-24'!J15</f>
        <v>60</v>
      </c>
      <c r="F15" s="142">
        <f>'24-25'!I15</f>
        <v>60</v>
      </c>
      <c r="G15" s="142">
        <f>'25-26'!I15</f>
        <v>90</v>
      </c>
      <c r="H15" s="142">
        <f>'26-27'!I15</f>
        <v>90</v>
      </c>
      <c r="I15" s="142">
        <f>'27-28'!I15</f>
        <v>90</v>
      </c>
      <c r="J15" s="225"/>
      <c r="K15" s="166">
        <f t="shared" si="5"/>
        <v>1</v>
      </c>
      <c r="L15" s="166">
        <f t="shared" si="4"/>
        <v>2</v>
      </c>
      <c r="M15" s="166">
        <f t="shared" si="4"/>
        <v>2</v>
      </c>
      <c r="N15" s="166">
        <f t="shared" si="4"/>
        <v>3</v>
      </c>
      <c r="O15" s="166">
        <f t="shared" si="4"/>
        <v>3</v>
      </c>
      <c r="P15" s="166">
        <f t="shared" si="4"/>
        <v>3</v>
      </c>
    </row>
    <row r="16" spans="1:17" x14ac:dyDescent="0.3">
      <c r="B16" s="16" t="s">
        <v>12</v>
      </c>
      <c r="C16" s="142">
        <f>'21-22'!I16</f>
        <v>0</v>
      </c>
      <c r="D16" s="142">
        <f>'22-23'!J16</f>
        <v>0</v>
      </c>
      <c r="E16" s="142">
        <f>'23-24'!J16</f>
        <v>60</v>
      </c>
      <c r="F16" s="142">
        <f>'24-25'!I16</f>
        <v>60</v>
      </c>
      <c r="G16" s="142">
        <f>'25-26'!I16</f>
        <v>60</v>
      </c>
      <c r="H16" s="142">
        <f>'26-27'!I16</f>
        <v>90</v>
      </c>
      <c r="I16" s="142">
        <f>'27-28'!I16</f>
        <v>90</v>
      </c>
      <c r="J16" s="225"/>
      <c r="K16" s="166">
        <f t="shared" si="5"/>
        <v>0</v>
      </c>
      <c r="L16" s="166">
        <f t="shared" si="4"/>
        <v>2</v>
      </c>
      <c r="M16" s="166">
        <f t="shared" si="4"/>
        <v>2</v>
      </c>
      <c r="N16" s="166">
        <f t="shared" si="4"/>
        <v>2</v>
      </c>
      <c r="O16" s="166">
        <f t="shared" si="4"/>
        <v>3</v>
      </c>
      <c r="P16" s="166">
        <f t="shared" si="4"/>
        <v>3</v>
      </c>
    </row>
    <row r="17" spans="1:16" x14ac:dyDescent="0.3">
      <c r="B17" s="16" t="s">
        <v>13</v>
      </c>
      <c r="C17" s="142">
        <f>'21-22'!I17</f>
        <v>0</v>
      </c>
      <c r="D17" s="142">
        <f>'22-23'!J17</f>
        <v>0</v>
      </c>
      <c r="E17" s="142">
        <f>'23-24'!J17</f>
        <v>0</v>
      </c>
      <c r="F17" s="142">
        <f>'24-25'!I17</f>
        <v>60</v>
      </c>
      <c r="G17" s="142">
        <f>'25-26'!I17</f>
        <v>60</v>
      </c>
      <c r="H17" s="142">
        <f>'26-27'!I17</f>
        <v>60</v>
      </c>
      <c r="I17" s="142">
        <f>'27-28'!I17</f>
        <v>90</v>
      </c>
      <c r="J17" s="225"/>
      <c r="K17" s="166">
        <f t="shared" si="5"/>
        <v>0</v>
      </c>
      <c r="L17" s="166">
        <f t="shared" si="4"/>
        <v>0</v>
      </c>
      <c r="M17" s="166">
        <f t="shared" si="4"/>
        <v>2</v>
      </c>
      <c r="N17" s="166">
        <f t="shared" si="4"/>
        <v>2</v>
      </c>
      <c r="O17" s="166">
        <f t="shared" si="4"/>
        <v>2</v>
      </c>
      <c r="P17" s="166">
        <f t="shared" si="4"/>
        <v>3</v>
      </c>
    </row>
    <row r="18" spans="1:16" x14ac:dyDescent="0.3">
      <c r="B18" s="16" t="s">
        <v>14</v>
      </c>
      <c r="C18" s="142">
        <f>'21-22'!I18</f>
        <v>0</v>
      </c>
      <c r="D18" s="142">
        <f>'22-23'!J18</f>
        <v>0</v>
      </c>
      <c r="E18" s="142">
        <f>'23-24'!J18</f>
        <v>0</v>
      </c>
      <c r="F18" s="142">
        <f>'24-25'!I18</f>
        <v>0</v>
      </c>
      <c r="G18" s="142">
        <f>'25-26'!I18</f>
        <v>60</v>
      </c>
      <c r="H18" s="142">
        <f>'26-27'!I18</f>
        <v>60</v>
      </c>
      <c r="I18" s="142">
        <f>'27-28'!I18</f>
        <v>60</v>
      </c>
      <c r="J18" s="225"/>
      <c r="K18" s="166">
        <f t="shared" si="5"/>
        <v>0</v>
      </c>
      <c r="L18" s="166">
        <f t="shared" si="4"/>
        <v>0</v>
      </c>
      <c r="M18" s="166">
        <f t="shared" si="4"/>
        <v>0</v>
      </c>
      <c r="N18" s="166">
        <f t="shared" si="4"/>
        <v>2</v>
      </c>
      <c r="O18" s="166">
        <f t="shared" si="4"/>
        <v>2</v>
      </c>
      <c r="P18" s="166">
        <f t="shared" si="4"/>
        <v>2</v>
      </c>
    </row>
    <row r="19" spans="1:16" x14ac:dyDescent="0.3">
      <c r="B19" s="16" t="s">
        <v>1</v>
      </c>
      <c r="C19" s="141">
        <f t="shared" ref="C19:I19" si="6">SUM(C6:C18)</f>
        <v>0</v>
      </c>
      <c r="D19" s="141">
        <f t="shared" si="6"/>
        <v>110</v>
      </c>
      <c r="E19" s="141">
        <f t="shared" si="6"/>
        <v>300</v>
      </c>
      <c r="F19" s="141">
        <f t="shared" si="6"/>
        <v>450</v>
      </c>
      <c r="G19" s="141">
        <f t="shared" si="6"/>
        <v>540</v>
      </c>
      <c r="H19" s="141">
        <f t="shared" si="6"/>
        <v>570</v>
      </c>
      <c r="I19" s="141">
        <f t="shared" si="6"/>
        <v>600</v>
      </c>
      <c r="J19" s="225"/>
      <c r="K19" s="220">
        <f t="shared" ref="K19:P19" si="7">SUM(K6:K18)</f>
        <v>4</v>
      </c>
      <c r="L19" s="220">
        <f t="shared" si="7"/>
        <v>10</v>
      </c>
      <c r="M19" s="220">
        <f t="shared" si="7"/>
        <v>15</v>
      </c>
      <c r="N19" s="220">
        <f t="shared" si="7"/>
        <v>18</v>
      </c>
      <c r="O19" s="220">
        <f t="shared" si="7"/>
        <v>19</v>
      </c>
      <c r="P19" s="220">
        <f t="shared" si="7"/>
        <v>20</v>
      </c>
    </row>
    <row r="20" spans="1:16" x14ac:dyDescent="0.3">
      <c r="B20" s="17"/>
      <c r="C20" s="143"/>
      <c r="D20" s="143"/>
      <c r="E20" s="366"/>
      <c r="F20" s="366"/>
      <c r="G20" s="366"/>
      <c r="H20" s="366"/>
      <c r="I20" s="366"/>
      <c r="J20" s="226"/>
      <c r="K20" s="219" t="b">
        <f t="shared" ref="K20:P20" si="8">ROUND(K19,0)=ROUND(D29,0)</f>
        <v>1</v>
      </c>
      <c r="L20" s="219" t="b">
        <f t="shared" si="8"/>
        <v>1</v>
      </c>
      <c r="M20" s="219" t="b">
        <f t="shared" si="8"/>
        <v>1</v>
      </c>
      <c r="N20" s="219" t="b">
        <f t="shared" si="8"/>
        <v>1</v>
      </c>
      <c r="O20" s="219" t="b">
        <f t="shared" si="8"/>
        <v>1</v>
      </c>
      <c r="P20" s="219" t="b">
        <f t="shared" si="8"/>
        <v>1</v>
      </c>
    </row>
    <row r="21" spans="1:16" x14ac:dyDescent="0.3">
      <c r="B21" s="19" t="s">
        <v>15</v>
      </c>
      <c r="C21" s="144"/>
      <c r="D21" s="144"/>
      <c r="E21" s="144"/>
      <c r="F21" s="144"/>
      <c r="G21" s="144"/>
      <c r="H21" s="144"/>
      <c r="I21" s="144"/>
      <c r="J21" s="226"/>
    </row>
    <row r="22" spans="1:16" x14ac:dyDescent="0.3">
      <c r="B22" s="411" t="s">
        <v>336</v>
      </c>
      <c r="C22" s="142">
        <f>'21-22'!I22</f>
        <v>0</v>
      </c>
      <c r="D22" s="142">
        <f>'22-23'!J22</f>
        <v>13.2</v>
      </c>
      <c r="E22" s="142">
        <f>'23-24'!J22</f>
        <v>36</v>
      </c>
      <c r="F22" s="142">
        <f>'24-25'!I22</f>
        <v>54</v>
      </c>
      <c r="G22" s="142">
        <f>'25-26'!I22</f>
        <v>64.8</v>
      </c>
      <c r="H22" s="142">
        <f>'26-27'!I22</f>
        <v>68.399999999999991</v>
      </c>
      <c r="I22" s="142">
        <f>'27-28'!I22</f>
        <v>72</v>
      </c>
      <c r="J22" s="227"/>
      <c r="K22" s="221">
        <f t="shared" ref="K22:P22" si="9">D22/21</f>
        <v>0.62857142857142856</v>
      </c>
      <c r="L22" s="221">
        <f t="shared" si="9"/>
        <v>1.7142857142857142</v>
      </c>
      <c r="M22" s="221">
        <f t="shared" si="9"/>
        <v>2.5714285714285716</v>
      </c>
      <c r="N22" s="221">
        <f t="shared" si="9"/>
        <v>3.0857142857142854</v>
      </c>
      <c r="O22" s="221">
        <f t="shared" si="9"/>
        <v>3.2571428571428567</v>
      </c>
      <c r="P22" s="221">
        <f t="shared" si="9"/>
        <v>3.4285714285714284</v>
      </c>
    </row>
    <row r="23" spans="1:16" x14ac:dyDescent="0.3">
      <c r="B23" s="411" t="s">
        <v>418</v>
      </c>
      <c r="C23" s="142">
        <f>'21-22'!I23</f>
        <v>0</v>
      </c>
      <c r="D23" s="142">
        <f>'22-23'!J23</f>
        <v>23.099999999999998</v>
      </c>
      <c r="E23" s="142">
        <f>'23-24'!J23</f>
        <v>63</v>
      </c>
      <c r="F23" s="142">
        <f>'24-25'!I23</f>
        <v>94.5</v>
      </c>
      <c r="G23" s="142">
        <f>'25-26'!I23</f>
        <v>113.39999999999999</v>
      </c>
      <c r="H23" s="142">
        <f>'26-27'!I23</f>
        <v>119.69999999999999</v>
      </c>
      <c r="I23" s="142">
        <f>'27-28'!I23</f>
        <v>126</v>
      </c>
      <c r="J23" s="227"/>
      <c r="K23" s="244">
        <f t="shared" ref="K23:P23" si="10">D30-K22</f>
        <v>0.37142857142857144</v>
      </c>
      <c r="L23" s="244">
        <f t="shared" si="10"/>
        <v>-0.21428571428571419</v>
      </c>
      <c r="M23" s="244">
        <f t="shared" si="10"/>
        <v>-7.1428571428571619E-2</v>
      </c>
      <c r="N23" s="244">
        <f t="shared" si="10"/>
        <v>-8.571428571428541E-2</v>
      </c>
      <c r="O23" s="244">
        <f t="shared" si="10"/>
        <v>-0.25714285714285667</v>
      </c>
      <c r="P23" s="244">
        <f t="shared" si="10"/>
        <v>7.1428571428571619E-2</v>
      </c>
    </row>
    <row r="24" spans="1:16" x14ac:dyDescent="0.3">
      <c r="B24" s="411" t="s">
        <v>337</v>
      </c>
      <c r="C24" s="142">
        <f>'21-22'!I24</f>
        <v>0</v>
      </c>
      <c r="D24" s="142">
        <f>'22-23'!J24</f>
        <v>0</v>
      </c>
      <c r="E24" s="142">
        <f>'23-24'!J24</f>
        <v>0</v>
      </c>
      <c r="F24" s="142">
        <f>'24-25'!I24</f>
        <v>0</v>
      </c>
      <c r="G24" s="142">
        <f>'25-26'!I24</f>
        <v>0</v>
      </c>
      <c r="H24" s="142">
        <f>'26-27'!I24</f>
        <v>0</v>
      </c>
      <c r="I24" s="142">
        <f>'27-28'!I24</f>
        <v>0</v>
      </c>
      <c r="J24" s="226"/>
      <c r="P24" s="219" t="s">
        <v>463</v>
      </c>
    </row>
    <row r="25" spans="1:16" x14ac:dyDescent="0.3">
      <c r="B25" s="411" t="s">
        <v>17</v>
      </c>
      <c r="C25" s="142">
        <f>'21-22'!I25</f>
        <v>0</v>
      </c>
      <c r="D25" s="436">
        <f>'22-23'!J25</f>
        <v>0.86</v>
      </c>
      <c r="E25" s="436">
        <f>'23-24'!J25</f>
        <v>0.86</v>
      </c>
      <c r="F25" s="436">
        <f>'24-25'!I25</f>
        <v>0.86</v>
      </c>
      <c r="G25" s="436">
        <f>'25-26'!I25</f>
        <v>0.86</v>
      </c>
      <c r="H25" s="436">
        <f>'26-27'!I25</f>
        <v>0.86</v>
      </c>
      <c r="I25" s="436">
        <f>'27-28'!I25</f>
        <v>0.86</v>
      </c>
      <c r="J25" s="226"/>
    </row>
    <row r="26" spans="1:16" x14ac:dyDescent="0.3">
      <c r="B26" s="411" t="s">
        <v>338</v>
      </c>
      <c r="C26" s="142">
        <f>'21-22'!I26</f>
        <v>0</v>
      </c>
      <c r="D26" s="142">
        <f>'22-23'!J26</f>
        <v>63.382000000000005</v>
      </c>
      <c r="E26" s="142">
        <f>'23-24'!J26</f>
        <v>172.85999999999999</v>
      </c>
      <c r="F26" s="142">
        <f>'24-25'!I26</f>
        <v>259.29000000000002</v>
      </c>
      <c r="G26" s="142">
        <f>'25-26'!I26</f>
        <v>311.14800000000002</v>
      </c>
      <c r="H26" s="142">
        <f>'26-27'!I26</f>
        <v>328.43400000000003</v>
      </c>
      <c r="I26" s="142">
        <f>'27-28'!I26</f>
        <v>345.71999999999997</v>
      </c>
      <c r="J26" s="228"/>
    </row>
    <row r="27" spans="1:16" x14ac:dyDescent="0.3">
      <c r="B27" s="24"/>
      <c r="C27" s="143"/>
      <c r="D27" s="143"/>
      <c r="E27" s="143"/>
      <c r="F27" s="143"/>
      <c r="G27" s="143"/>
      <c r="H27" s="143"/>
      <c r="I27" s="143"/>
      <c r="J27" s="226"/>
    </row>
    <row r="28" spans="1:16" x14ac:dyDescent="0.3">
      <c r="B28" s="19" t="s">
        <v>18</v>
      </c>
      <c r="C28" s="144"/>
      <c r="D28" s="144"/>
      <c r="E28" s="144"/>
      <c r="F28" s="144"/>
      <c r="G28" s="144"/>
      <c r="H28" s="144"/>
      <c r="I28" s="144"/>
      <c r="J28" s="226"/>
      <c r="K28" s="221"/>
    </row>
    <row r="29" spans="1:16" x14ac:dyDescent="0.3">
      <c r="B29" s="25" t="s">
        <v>19</v>
      </c>
      <c r="C29" s="437">
        <f>'21-22'!I29</f>
        <v>0</v>
      </c>
      <c r="D29" s="437">
        <f>'22-23'!J29</f>
        <v>4</v>
      </c>
      <c r="E29" s="437">
        <f>'23-24'!J29</f>
        <v>10</v>
      </c>
      <c r="F29" s="437">
        <f>'24-25'!I29</f>
        <v>15</v>
      </c>
      <c r="G29" s="437">
        <f>'25-26'!I29</f>
        <v>18</v>
      </c>
      <c r="H29" s="437">
        <f>'26-27'!I29</f>
        <v>19</v>
      </c>
      <c r="I29" s="437">
        <f>'27-28'!I29</f>
        <v>20</v>
      </c>
      <c r="J29" s="227"/>
      <c r="K29" s="221">
        <f>I29/6</f>
        <v>3.3333333333333335</v>
      </c>
    </row>
    <row r="30" spans="1:16" s="222" customFormat="1" x14ac:dyDescent="0.3">
      <c r="A30" s="27"/>
      <c r="B30" s="25" t="s">
        <v>20</v>
      </c>
      <c r="C30" s="437">
        <f>'21-22'!I30</f>
        <v>0</v>
      </c>
      <c r="D30" s="437">
        <f>'22-23'!J30</f>
        <v>1</v>
      </c>
      <c r="E30" s="437">
        <f>'23-24'!J30</f>
        <v>1.5</v>
      </c>
      <c r="F30" s="437">
        <f>'24-25'!I30</f>
        <v>2.5</v>
      </c>
      <c r="G30" s="437">
        <f>'25-26'!I30</f>
        <v>3</v>
      </c>
      <c r="H30" s="437">
        <f>'26-27'!I30</f>
        <v>3</v>
      </c>
      <c r="I30" s="437">
        <f>'27-28'!I30</f>
        <v>3.5</v>
      </c>
      <c r="J30" s="229"/>
    </row>
    <row r="31" spans="1:16" x14ac:dyDescent="0.3">
      <c r="B31" s="25" t="s">
        <v>21</v>
      </c>
      <c r="C31" s="437">
        <f>'21-22'!I31</f>
        <v>0</v>
      </c>
      <c r="D31" s="437">
        <f>'22-23'!J31</f>
        <v>0</v>
      </c>
      <c r="E31" s="437">
        <f>'23-24'!J31</f>
        <v>1</v>
      </c>
      <c r="F31" s="437">
        <f>'24-25'!I31</f>
        <v>1</v>
      </c>
      <c r="G31" s="437">
        <f>'25-26'!I31</f>
        <v>1</v>
      </c>
      <c r="H31" s="437">
        <f>'26-27'!I31</f>
        <v>1</v>
      </c>
      <c r="I31" s="437">
        <f>'27-28'!I31</f>
        <v>1</v>
      </c>
      <c r="J31" s="226"/>
    </row>
    <row r="32" spans="1:16" x14ac:dyDescent="0.3">
      <c r="B32" s="25" t="s">
        <v>22</v>
      </c>
      <c r="C32" s="437">
        <f>'21-22'!I32</f>
        <v>0</v>
      </c>
      <c r="D32" s="437">
        <f>'22-23'!J32</f>
        <v>0</v>
      </c>
      <c r="E32" s="437">
        <f>'23-24'!J32</f>
        <v>0</v>
      </c>
      <c r="F32" s="437">
        <f>'24-25'!I32</f>
        <v>1</v>
      </c>
      <c r="G32" s="437">
        <f>'25-26'!I32</f>
        <v>1</v>
      </c>
      <c r="H32" s="437">
        <f>'26-27'!I32</f>
        <v>1</v>
      </c>
      <c r="I32" s="437">
        <f>'27-28'!I32</f>
        <v>1</v>
      </c>
      <c r="J32" s="226"/>
    </row>
    <row r="33" spans="2:11" x14ac:dyDescent="0.3">
      <c r="B33" s="25" t="s">
        <v>23</v>
      </c>
      <c r="C33" s="437">
        <f>'21-22'!I33</f>
        <v>0</v>
      </c>
      <c r="D33" s="437">
        <f>'22-23'!J33</f>
        <v>0</v>
      </c>
      <c r="E33" s="437">
        <f>'23-24'!J33</f>
        <v>0</v>
      </c>
      <c r="F33" s="437">
        <f>'24-25'!I33</f>
        <v>0.5</v>
      </c>
      <c r="G33" s="437">
        <f>'25-26'!I33</f>
        <v>1</v>
      </c>
      <c r="H33" s="437">
        <f>'26-27'!I33</f>
        <v>1</v>
      </c>
      <c r="I33" s="437">
        <f>'27-28'!I33</f>
        <v>1</v>
      </c>
      <c r="J33" s="225"/>
    </row>
    <row r="34" spans="2:11" x14ac:dyDescent="0.3">
      <c r="B34" s="30" t="s">
        <v>24</v>
      </c>
      <c r="C34" s="437">
        <f>'21-22'!I34</f>
        <v>0</v>
      </c>
      <c r="D34" s="437">
        <f>'22-23'!J34</f>
        <v>0</v>
      </c>
      <c r="E34" s="437">
        <f>'23-24'!J34</f>
        <v>0</v>
      </c>
      <c r="F34" s="437">
        <f>'24-25'!I34</f>
        <v>0</v>
      </c>
      <c r="G34" s="437">
        <f>'25-26'!I34</f>
        <v>0.5</v>
      </c>
      <c r="H34" s="437">
        <f>'26-27'!I34</f>
        <v>1</v>
      </c>
      <c r="I34" s="437">
        <f>'27-28'!I34</f>
        <v>1</v>
      </c>
      <c r="J34" s="225"/>
    </row>
    <row r="35" spans="2:11" x14ac:dyDescent="0.3">
      <c r="B35" s="30" t="s">
        <v>25</v>
      </c>
      <c r="C35" s="437">
        <f>'21-22'!I35</f>
        <v>0</v>
      </c>
      <c r="D35" s="437">
        <f>'22-23'!J35</f>
        <v>0</v>
      </c>
      <c r="E35" s="437">
        <f>'23-24'!J35</f>
        <v>0</v>
      </c>
      <c r="F35" s="437">
        <f>'24-25'!I35</f>
        <v>0</v>
      </c>
      <c r="G35" s="437">
        <f>'25-26'!I35</f>
        <v>0</v>
      </c>
      <c r="H35" s="437">
        <f>'26-27'!I35</f>
        <v>0</v>
      </c>
      <c r="I35" s="437">
        <f>'27-28'!I35</f>
        <v>0</v>
      </c>
      <c r="J35" s="225"/>
    </row>
    <row r="36" spans="2:11" x14ac:dyDescent="0.3">
      <c r="B36" s="30" t="s">
        <v>26</v>
      </c>
      <c r="C36" s="437">
        <f>'21-22'!I36</f>
        <v>0</v>
      </c>
      <c r="D36" s="437">
        <f>'22-23'!J36</f>
        <v>0</v>
      </c>
      <c r="E36" s="437">
        <f>'23-24'!J36</f>
        <v>0</v>
      </c>
      <c r="F36" s="437">
        <f>'24-25'!I36</f>
        <v>0</v>
      </c>
      <c r="G36" s="437">
        <v>0</v>
      </c>
      <c r="H36" s="437">
        <f>'26-27'!I36</f>
        <v>0.5</v>
      </c>
      <c r="I36" s="437">
        <f>'27-28'!I36</f>
        <v>0.5</v>
      </c>
      <c r="J36" s="225"/>
    </row>
    <row r="37" spans="2:11" x14ac:dyDescent="0.3">
      <c r="B37" s="31" t="s">
        <v>27</v>
      </c>
      <c r="C37" s="149">
        <f t="shared" ref="C37:I37" si="11">SUM(C29:C36)</f>
        <v>0</v>
      </c>
      <c r="D37" s="149">
        <f t="shared" si="11"/>
        <v>5</v>
      </c>
      <c r="E37" s="149">
        <f t="shared" si="11"/>
        <v>12.5</v>
      </c>
      <c r="F37" s="149">
        <f>SUM(F29:F36)</f>
        <v>20</v>
      </c>
      <c r="G37" s="149">
        <f t="shared" si="11"/>
        <v>24.5</v>
      </c>
      <c r="H37" s="149">
        <f t="shared" si="11"/>
        <v>26.5</v>
      </c>
      <c r="I37" s="149">
        <f t="shared" si="11"/>
        <v>28</v>
      </c>
      <c r="J37" s="231">
        <f>I37-D37</f>
        <v>23</v>
      </c>
      <c r="K37" s="221">
        <f>I37-D37</f>
        <v>23</v>
      </c>
    </row>
    <row r="38" spans="2:11" x14ac:dyDescent="0.3">
      <c r="B38" s="33"/>
      <c r="C38" s="143"/>
      <c r="D38" s="143"/>
      <c r="E38" s="143"/>
      <c r="F38" s="143"/>
      <c r="G38" s="143"/>
      <c r="H38" s="143"/>
      <c r="I38" s="143"/>
      <c r="J38" s="225"/>
    </row>
    <row r="39" spans="2:11" x14ac:dyDescent="0.3">
      <c r="B39" s="19" t="s">
        <v>28</v>
      </c>
      <c r="C39" s="150" t="str">
        <f t="shared" ref="C39:I39" si="12">C1</f>
        <v>21-22(Pre-Op)</v>
      </c>
      <c r="D39" s="150" t="str">
        <f t="shared" si="12"/>
        <v>22-23</v>
      </c>
      <c r="E39" s="150" t="str">
        <f t="shared" si="12"/>
        <v>23-24</v>
      </c>
      <c r="F39" s="150" t="str">
        <f t="shared" si="12"/>
        <v>24-25</v>
      </c>
      <c r="G39" s="150" t="str">
        <f t="shared" si="12"/>
        <v>25-26</v>
      </c>
      <c r="H39" s="150" t="str">
        <f t="shared" si="12"/>
        <v>26-27</v>
      </c>
      <c r="I39" s="150" t="str">
        <f t="shared" si="12"/>
        <v>27-28</v>
      </c>
      <c r="J39" s="230"/>
    </row>
    <row r="40" spans="2:11" hidden="1" x14ac:dyDescent="0.3">
      <c r="B40" s="25" t="s">
        <v>29</v>
      </c>
      <c r="C40" s="151">
        <v>0</v>
      </c>
      <c r="D40" s="151">
        <v>0</v>
      </c>
      <c r="E40" s="151">
        <v>0</v>
      </c>
      <c r="F40" s="151">
        <v>0</v>
      </c>
      <c r="G40" s="151">
        <v>0</v>
      </c>
      <c r="H40" s="151">
        <v>0</v>
      </c>
      <c r="I40" s="151">
        <v>0</v>
      </c>
      <c r="J40" s="225"/>
    </row>
    <row r="41" spans="2:11" x14ac:dyDescent="0.3">
      <c r="B41" s="25" t="s">
        <v>30</v>
      </c>
      <c r="C41" s="437">
        <f>'21-22'!I41</f>
        <v>1</v>
      </c>
      <c r="D41" s="437">
        <f>'22-23'!J41</f>
        <v>1</v>
      </c>
      <c r="E41" s="437">
        <f>'23-24'!J41</f>
        <v>1</v>
      </c>
      <c r="F41" s="437">
        <f>'24-25'!I41</f>
        <v>1</v>
      </c>
      <c r="G41" s="437">
        <f>'25-26'!I41</f>
        <v>1</v>
      </c>
      <c r="H41" s="437">
        <f>'26-27'!I41</f>
        <v>1</v>
      </c>
      <c r="I41" s="437">
        <f>'27-28'!I41</f>
        <v>1</v>
      </c>
      <c r="J41" s="225"/>
    </row>
    <row r="42" spans="2:11" x14ac:dyDescent="0.3">
      <c r="B42" s="25" t="s">
        <v>31</v>
      </c>
      <c r="C42" s="437">
        <f>'21-22'!I42</f>
        <v>0</v>
      </c>
      <c r="D42" s="437">
        <f>'22-23'!J42</f>
        <v>0</v>
      </c>
      <c r="E42" s="437">
        <f>'23-24'!J42</f>
        <v>0</v>
      </c>
      <c r="F42" s="437">
        <f>'24-25'!I42</f>
        <v>1</v>
      </c>
      <c r="G42" s="437">
        <f>'25-26'!I42</f>
        <v>1</v>
      </c>
      <c r="H42" s="437">
        <f>'26-27'!I42</f>
        <v>1</v>
      </c>
      <c r="I42" s="437">
        <f>'27-28'!I42</f>
        <v>1</v>
      </c>
      <c r="J42" s="225"/>
    </row>
    <row r="43" spans="2:11" x14ac:dyDescent="0.3">
      <c r="B43" s="25" t="s">
        <v>413</v>
      </c>
      <c r="C43" s="437">
        <f>'21-22'!I43</f>
        <v>1</v>
      </c>
      <c r="D43" s="437">
        <f>'22-23'!J43</f>
        <v>1</v>
      </c>
      <c r="E43" s="437">
        <f>'23-24'!J43</f>
        <v>1</v>
      </c>
      <c r="F43" s="437">
        <f>'24-25'!I43</f>
        <v>1</v>
      </c>
      <c r="G43" s="437">
        <f>'25-26'!I43</f>
        <v>1</v>
      </c>
      <c r="H43" s="437">
        <f>'26-27'!I43</f>
        <v>1</v>
      </c>
      <c r="I43" s="437">
        <f>'27-28'!I43</f>
        <v>1</v>
      </c>
      <c r="J43" s="225"/>
    </row>
    <row r="44" spans="2:11" x14ac:dyDescent="0.3">
      <c r="B44" s="36" t="s">
        <v>412</v>
      </c>
      <c r="C44" s="437">
        <f>'21-22'!I44</f>
        <v>0</v>
      </c>
      <c r="D44" s="437">
        <f>'22-23'!J44</f>
        <v>0</v>
      </c>
      <c r="E44" s="437">
        <f>'23-24'!J44</f>
        <v>0</v>
      </c>
      <c r="F44" s="437">
        <f>'24-25'!I44</f>
        <v>1</v>
      </c>
      <c r="G44" s="437">
        <f>'25-26'!I44</f>
        <v>1</v>
      </c>
      <c r="H44" s="437">
        <f>'26-27'!I44</f>
        <v>1</v>
      </c>
      <c r="I44" s="437">
        <f>'27-28'!I44</f>
        <v>1</v>
      </c>
      <c r="J44" s="225"/>
    </row>
    <row r="45" spans="2:11" x14ac:dyDescent="0.3">
      <c r="B45" s="36" t="s">
        <v>415</v>
      </c>
      <c r="C45" s="437">
        <f>'21-22'!I45</f>
        <v>1</v>
      </c>
      <c r="D45" s="437">
        <f>'22-23'!J45</f>
        <v>0</v>
      </c>
      <c r="E45" s="437">
        <f>'23-24'!J45</f>
        <v>1</v>
      </c>
      <c r="F45" s="437">
        <f>'24-25'!I45</f>
        <v>0</v>
      </c>
      <c r="G45" s="437">
        <f>'25-26'!I45</f>
        <v>1</v>
      </c>
      <c r="H45" s="437">
        <f>'26-27'!I45</f>
        <v>1</v>
      </c>
      <c r="I45" s="437">
        <f>'27-28'!I45</f>
        <v>1</v>
      </c>
      <c r="J45" s="225"/>
    </row>
    <row r="46" spans="2:11" x14ac:dyDescent="0.3">
      <c r="B46" s="25" t="s">
        <v>32</v>
      </c>
      <c r="C46" s="437">
        <f>'21-22'!I46</f>
        <v>1</v>
      </c>
      <c r="D46" s="437">
        <f>'22-23'!J46</f>
        <v>1</v>
      </c>
      <c r="E46" s="437">
        <f>'23-24'!J46</f>
        <v>1</v>
      </c>
      <c r="F46" s="437">
        <f>'24-25'!I46</f>
        <v>1</v>
      </c>
      <c r="G46" s="437">
        <f>'25-26'!I46</f>
        <v>1</v>
      </c>
      <c r="H46" s="437">
        <f>'26-27'!I46</f>
        <v>1</v>
      </c>
      <c r="I46" s="437">
        <f>'27-28'!I46</f>
        <v>1</v>
      </c>
      <c r="J46" s="225"/>
    </row>
    <row r="47" spans="2:11" x14ac:dyDescent="0.3">
      <c r="B47" s="25" t="s">
        <v>33</v>
      </c>
      <c r="C47" s="437">
        <f>'21-22'!I47</f>
        <v>0</v>
      </c>
      <c r="D47" s="437">
        <f>'22-23'!J47</f>
        <v>0</v>
      </c>
      <c r="E47" s="437">
        <f>'23-24'!J47</f>
        <v>0</v>
      </c>
      <c r="F47" s="437">
        <f>'24-25'!I47</f>
        <v>0</v>
      </c>
      <c r="G47" s="437">
        <f>'25-26'!I47</f>
        <v>0.5</v>
      </c>
      <c r="H47" s="437">
        <f>'26-27'!I47</f>
        <v>0.5</v>
      </c>
      <c r="I47" s="437">
        <f>'27-28'!I47</f>
        <v>1</v>
      </c>
      <c r="J47" s="225"/>
    </row>
    <row r="48" spans="2:11" x14ac:dyDescent="0.3">
      <c r="B48" s="25" t="s">
        <v>34</v>
      </c>
      <c r="C48" s="437">
        <f>'21-22'!I48</f>
        <v>0</v>
      </c>
      <c r="D48" s="437">
        <f>'22-23'!J48</f>
        <v>0</v>
      </c>
      <c r="E48" s="437">
        <f>'23-24'!J48</f>
        <v>0</v>
      </c>
      <c r="F48" s="437">
        <f>'24-25'!I48</f>
        <v>0</v>
      </c>
      <c r="G48" s="437">
        <f>'25-26'!I48</f>
        <v>1</v>
      </c>
      <c r="H48" s="437">
        <f>'26-27'!I48</f>
        <v>1</v>
      </c>
      <c r="I48" s="437">
        <f>'27-28'!I48</f>
        <v>1</v>
      </c>
      <c r="J48" s="225"/>
    </row>
    <row r="49" spans="2:15" x14ac:dyDescent="0.3">
      <c r="B49" s="25" t="s">
        <v>35</v>
      </c>
      <c r="C49" s="437">
        <f>'21-22'!I49</f>
        <v>0</v>
      </c>
      <c r="D49" s="437">
        <f>'22-23'!J49</f>
        <v>0</v>
      </c>
      <c r="E49" s="437">
        <f>'23-24'!J49</f>
        <v>1</v>
      </c>
      <c r="F49" s="437">
        <f>'24-25'!I49</f>
        <v>1</v>
      </c>
      <c r="G49" s="437">
        <f>'25-26'!I49</f>
        <v>1</v>
      </c>
      <c r="H49" s="437">
        <f>'26-27'!I49</f>
        <v>1</v>
      </c>
      <c r="I49" s="437">
        <f>'27-28'!I49</f>
        <v>1</v>
      </c>
      <c r="J49" s="225"/>
    </row>
    <row r="50" spans="2:15" x14ac:dyDescent="0.3">
      <c r="B50" s="25" t="s">
        <v>427</v>
      </c>
      <c r="C50" s="437">
        <f>'21-22'!I50</f>
        <v>0</v>
      </c>
      <c r="D50" s="437">
        <f>'22-23'!J50</f>
        <v>2</v>
      </c>
      <c r="E50" s="437">
        <f>'23-24'!J50</f>
        <v>3</v>
      </c>
      <c r="F50" s="437">
        <f>'24-25'!I50</f>
        <v>3</v>
      </c>
      <c r="G50" s="437">
        <f>'25-26'!I50</f>
        <v>4</v>
      </c>
      <c r="H50" s="437">
        <f>'26-27'!I50</f>
        <v>4</v>
      </c>
      <c r="I50" s="437">
        <f>'27-28'!I50</f>
        <v>4</v>
      </c>
      <c r="J50" s="225"/>
      <c r="K50" s="221">
        <f>D29+D50</f>
        <v>6</v>
      </c>
      <c r="L50" s="221">
        <f>E29+E50</f>
        <v>13</v>
      </c>
      <c r="M50" s="221">
        <f>F29+F50</f>
        <v>18</v>
      </c>
      <c r="N50" s="221">
        <f>G29+G50</f>
        <v>22</v>
      </c>
      <c r="O50" s="221">
        <f>H29+H50</f>
        <v>23</v>
      </c>
    </row>
    <row r="51" spans="2:15" x14ac:dyDescent="0.3">
      <c r="B51" s="488" t="s">
        <v>458</v>
      </c>
      <c r="C51" s="437">
        <f>'21-22'!I51</f>
        <v>1</v>
      </c>
      <c r="D51" s="437">
        <f>'22-23'!J51</f>
        <v>0</v>
      </c>
      <c r="E51" s="437">
        <f>'23-24'!J51</f>
        <v>1</v>
      </c>
      <c r="F51" s="437">
        <f>'24-25'!I51</f>
        <v>1</v>
      </c>
      <c r="G51" s="437">
        <f>'25-26'!I51</f>
        <v>1</v>
      </c>
      <c r="H51" s="437">
        <f>'26-27'!I51</f>
        <v>1</v>
      </c>
      <c r="I51" s="437">
        <f>'27-28'!I51</f>
        <v>1</v>
      </c>
      <c r="J51" s="225"/>
    </row>
    <row r="52" spans="2:15" x14ac:dyDescent="0.3">
      <c r="B52" s="25" t="s">
        <v>414</v>
      </c>
      <c r="C52" s="437">
        <f>'21-22'!I52</f>
        <v>0</v>
      </c>
      <c r="D52" s="437">
        <f>'22-23'!J52</f>
        <v>1</v>
      </c>
      <c r="E52" s="437">
        <f>'23-24'!J52</f>
        <v>1</v>
      </c>
      <c r="F52" s="437">
        <f>'24-25'!I52</f>
        <v>1</v>
      </c>
      <c r="G52" s="437">
        <f>'25-26'!I52</f>
        <v>1</v>
      </c>
      <c r="H52" s="437">
        <f>'26-27'!I52</f>
        <v>1</v>
      </c>
      <c r="I52" s="437">
        <f>'27-28'!I52</f>
        <v>1</v>
      </c>
      <c r="J52" s="225"/>
    </row>
    <row r="53" spans="2:15" x14ac:dyDescent="0.3">
      <c r="B53" s="37" t="s">
        <v>37</v>
      </c>
      <c r="C53" s="437">
        <f>'21-22'!I53</f>
        <v>0</v>
      </c>
      <c r="D53" s="437">
        <f>'22-23'!J53</f>
        <v>0</v>
      </c>
      <c r="E53" s="437">
        <f>'23-24'!J53</f>
        <v>0</v>
      </c>
      <c r="F53" s="437">
        <f>'24-25'!I53</f>
        <v>0</v>
      </c>
      <c r="G53" s="437">
        <f>'25-26'!I53</f>
        <v>0</v>
      </c>
      <c r="H53" s="437">
        <f>'26-27'!I53</f>
        <v>0</v>
      </c>
      <c r="I53" s="437">
        <f>'27-28'!I53</f>
        <v>0</v>
      </c>
      <c r="J53" s="225"/>
    </row>
    <row r="54" spans="2:15" x14ac:dyDescent="0.3">
      <c r="B54" s="37" t="s">
        <v>38</v>
      </c>
      <c r="C54" s="437">
        <f>'21-22'!I54</f>
        <v>0</v>
      </c>
      <c r="D54" s="437">
        <f>'22-23'!J54</f>
        <v>0</v>
      </c>
      <c r="E54" s="437">
        <f>'23-24'!J54</f>
        <v>0</v>
      </c>
      <c r="F54" s="437">
        <f>'24-25'!I54</f>
        <v>0</v>
      </c>
      <c r="G54" s="437">
        <f>'25-26'!I54</f>
        <v>0</v>
      </c>
      <c r="H54" s="437">
        <f>'26-27'!I54</f>
        <v>0</v>
      </c>
      <c r="I54" s="437">
        <f>'27-28'!I54</f>
        <v>0</v>
      </c>
      <c r="J54" s="225"/>
    </row>
    <row r="55" spans="2:15" x14ac:dyDescent="0.3">
      <c r="B55" s="37" t="s">
        <v>39</v>
      </c>
      <c r="C55" s="437">
        <f>'21-22'!I55</f>
        <v>0</v>
      </c>
      <c r="D55" s="437">
        <f>'22-23'!J55</f>
        <v>0</v>
      </c>
      <c r="E55" s="437">
        <f>'23-24'!J55</f>
        <v>0</v>
      </c>
      <c r="F55" s="437">
        <f>'24-25'!I55</f>
        <v>0</v>
      </c>
      <c r="G55" s="437">
        <f>'25-26'!I55</f>
        <v>0</v>
      </c>
      <c r="H55" s="437">
        <f>'26-27'!I55</f>
        <v>0</v>
      </c>
      <c r="I55" s="437">
        <f>'27-28'!I55</f>
        <v>0</v>
      </c>
      <c r="J55" s="225"/>
    </row>
    <row r="56" spans="2:15" x14ac:dyDescent="0.3">
      <c r="B56" s="37" t="s">
        <v>40</v>
      </c>
      <c r="C56" s="437">
        <f>'21-22'!I56</f>
        <v>0</v>
      </c>
      <c r="D56" s="437">
        <f>'22-23'!J56</f>
        <v>0</v>
      </c>
      <c r="E56" s="437">
        <f>'23-24'!J56</f>
        <v>0</v>
      </c>
      <c r="F56" s="437">
        <f>'24-25'!I56</f>
        <v>0</v>
      </c>
      <c r="G56" s="437">
        <f>'25-26'!I56</f>
        <v>0</v>
      </c>
      <c r="H56" s="437">
        <f>'26-27'!I56</f>
        <v>0</v>
      </c>
      <c r="I56" s="437">
        <f>'27-28'!I56</f>
        <v>0</v>
      </c>
      <c r="J56" s="225"/>
    </row>
    <row r="57" spans="2:15" x14ac:dyDescent="0.3">
      <c r="B57" s="37" t="s">
        <v>70</v>
      </c>
      <c r="C57" s="437">
        <f>'21-22'!I57</f>
        <v>0</v>
      </c>
      <c r="D57" s="437">
        <f>'22-23'!J57</f>
        <v>0</v>
      </c>
      <c r="E57" s="437">
        <f>'23-24'!J57</f>
        <v>0</v>
      </c>
      <c r="F57" s="437">
        <f>'24-25'!I57</f>
        <v>0</v>
      </c>
      <c r="G57" s="437">
        <f>'25-26'!I57</f>
        <v>0</v>
      </c>
      <c r="H57" s="437">
        <f>'26-27'!I57</f>
        <v>0</v>
      </c>
      <c r="I57" s="437">
        <f>'27-28'!I57</f>
        <v>0</v>
      </c>
      <c r="J57" s="231"/>
    </row>
    <row r="58" spans="2:15" x14ac:dyDescent="0.3">
      <c r="B58" s="37" t="s">
        <v>417</v>
      </c>
      <c r="C58" s="437">
        <f>'21-22'!I58</f>
        <v>0</v>
      </c>
      <c r="D58" s="437">
        <f>'22-23'!J58</f>
        <v>1</v>
      </c>
      <c r="E58" s="437">
        <f>'23-24'!J58</f>
        <v>1</v>
      </c>
      <c r="F58" s="437">
        <f>'24-25'!I58</f>
        <v>1</v>
      </c>
      <c r="G58" s="437">
        <f>'25-26'!I58</f>
        <v>1</v>
      </c>
      <c r="H58" s="437">
        <f>'26-27'!I58</f>
        <v>1</v>
      </c>
      <c r="I58" s="437">
        <f>'27-28'!I58</f>
        <v>1</v>
      </c>
      <c r="J58" s="225"/>
    </row>
    <row r="59" spans="2:15" x14ac:dyDescent="0.3">
      <c r="B59" s="39"/>
      <c r="C59" s="437">
        <f>'21-22'!I59</f>
        <v>0</v>
      </c>
      <c r="D59" s="437">
        <f>'22-23'!J59</f>
        <v>0</v>
      </c>
      <c r="E59" s="437">
        <f>'23-24'!J59</f>
        <v>0</v>
      </c>
      <c r="F59" s="437">
        <f>'24-25'!I59</f>
        <v>0</v>
      </c>
      <c r="G59" s="437">
        <f>'25-26'!I59</f>
        <v>0</v>
      </c>
      <c r="H59" s="437">
        <f>'26-27'!I59</f>
        <v>0</v>
      </c>
      <c r="I59" s="437">
        <f>'27-28'!I59</f>
        <v>0</v>
      </c>
      <c r="J59" s="225"/>
    </row>
    <row r="60" spans="2:15" x14ac:dyDescent="0.3">
      <c r="B60" s="31" t="s">
        <v>41</v>
      </c>
      <c r="C60" s="152">
        <f t="shared" ref="C60:I60" si="13">SUM(C40:C59)</f>
        <v>5</v>
      </c>
      <c r="D60" s="152">
        <f>SUM(D40:D59)</f>
        <v>7</v>
      </c>
      <c r="E60" s="152">
        <f t="shared" si="13"/>
        <v>11</v>
      </c>
      <c r="F60" s="152">
        <f t="shared" si="13"/>
        <v>12</v>
      </c>
      <c r="G60" s="152">
        <f t="shared" si="13"/>
        <v>15.5</v>
      </c>
      <c r="H60" s="152">
        <f t="shared" si="13"/>
        <v>15.5</v>
      </c>
      <c r="I60" s="152">
        <f t="shared" si="13"/>
        <v>16</v>
      </c>
      <c r="J60" s="231">
        <f>I60-D60</f>
        <v>9</v>
      </c>
      <c r="K60" s="221">
        <f>I60-D60</f>
        <v>9</v>
      </c>
    </row>
    <row r="61" spans="2:15" ht="15" thickBot="1" x14ac:dyDescent="0.35">
      <c r="B61" s="41"/>
      <c r="C61" s="153"/>
      <c r="D61" s="153"/>
      <c r="E61" s="153"/>
      <c r="F61" s="153"/>
      <c r="G61" s="153"/>
      <c r="H61" s="153"/>
      <c r="I61" s="153"/>
      <c r="J61" s="225"/>
    </row>
    <row r="62" spans="2:15" x14ac:dyDescent="0.3">
      <c r="B62" s="43" t="s">
        <v>42</v>
      </c>
      <c r="C62" s="44">
        <f t="shared" ref="C62:I62" si="14">C37</f>
        <v>0</v>
      </c>
      <c r="D62" s="44">
        <f>D37</f>
        <v>5</v>
      </c>
      <c r="E62" s="44">
        <f t="shared" si="14"/>
        <v>12.5</v>
      </c>
      <c r="F62" s="44">
        <f t="shared" si="14"/>
        <v>20</v>
      </c>
      <c r="G62" s="44">
        <f t="shared" si="14"/>
        <v>24.5</v>
      </c>
      <c r="H62" s="44">
        <f t="shared" si="14"/>
        <v>26.5</v>
      </c>
      <c r="I62" s="44">
        <f t="shared" si="14"/>
        <v>28</v>
      </c>
      <c r="J62" s="225"/>
    </row>
    <row r="63" spans="2:15" ht="15" thickBot="1" x14ac:dyDescent="0.35">
      <c r="B63" s="45" t="s">
        <v>43</v>
      </c>
      <c r="C63" s="46">
        <f t="shared" ref="C63:I63" si="15">C60</f>
        <v>5</v>
      </c>
      <c r="D63" s="46">
        <f>D60</f>
        <v>7</v>
      </c>
      <c r="E63" s="46">
        <f t="shared" si="15"/>
        <v>11</v>
      </c>
      <c r="F63" s="46">
        <f t="shared" si="15"/>
        <v>12</v>
      </c>
      <c r="G63" s="46">
        <f t="shared" si="15"/>
        <v>15.5</v>
      </c>
      <c r="H63" s="46">
        <f t="shared" si="15"/>
        <v>15.5</v>
      </c>
      <c r="I63" s="46">
        <f t="shared" si="15"/>
        <v>16</v>
      </c>
      <c r="J63" s="225"/>
    </row>
    <row r="64" spans="2:15" ht="15" thickBot="1" x14ac:dyDescent="0.35">
      <c r="B64" s="47" t="s">
        <v>44</v>
      </c>
      <c r="C64" s="48">
        <f t="shared" ref="C64:I64" si="16">SUM(C62:C63)</f>
        <v>5</v>
      </c>
      <c r="D64" s="48">
        <f>SUM(D62:D63)</f>
        <v>12</v>
      </c>
      <c r="E64" s="48">
        <f t="shared" si="16"/>
        <v>23.5</v>
      </c>
      <c r="F64" s="48">
        <f t="shared" si="16"/>
        <v>32</v>
      </c>
      <c r="G64" s="48">
        <f t="shared" si="16"/>
        <v>40</v>
      </c>
      <c r="H64" s="48">
        <f t="shared" si="16"/>
        <v>42</v>
      </c>
      <c r="I64" s="48">
        <f t="shared" si="16"/>
        <v>44</v>
      </c>
      <c r="J64" s="225"/>
    </row>
    <row r="65" spans="1:13" ht="15" thickBot="1" x14ac:dyDescent="0.35">
      <c r="B65" s="37"/>
      <c r="C65" s="154"/>
      <c r="D65" s="154"/>
      <c r="E65" s="154"/>
      <c r="F65" s="154"/>
      <c r="G65" s="154"/>
      <c r="H65" s="154"/>
      <c r="I65" s="154"/>
      <c r="J65" s="225"/>
    </row>
    <row r="66" spans="1:13" x14ac:dyDescent="0.3">
      <c r="B66" s="127" t="s">
        <v>45</v>
      </c>
      <c r="C66" s="51"/>
      <c r="D66" s="51">
        <f t="shared" ref="D66:H66" si="17">D135/(D203+D205+D206+D207+D208+D209)</f>
        <v>0.17676452000891343</v>
      </c>
      <c r="E66" s="51">
        <f t="shared" si="17"/>
        <v>0.1988591538396246</v>
      </c>
      <c r="F66" s="51">
        <f t="shared" si="17"/>
        <v>0.20568804305658134</v>
      </c>
      <c r="G66" s="51">
        <f t="shared" si="17"/>
        <v>0.20886879867084479</v>
      </c>
      <c r="H66" s="51">
        <f t="shared" si="17"/>
        <v>0.21137675827084026</v>
      </c>
      <c r="I66" s="51">
        <f t="shared" ref="I66" si="18">I135/(I203+I205+I206+I207+I208+I209)</f>
        <v>0.21309442949725607</v>
      </c>
      <c r="J66" s="225"/>
    </row>
    <row r="67" spans="1:13" x14ac:dyDescent="0.3">
      <c r="B67" s="33" t="s">
        <v>46</v>
      </c>
      <c r="C67" s="53"/>
      <c r="D67" s="53">
        <f t="shared" ref="D67:H67" si="19">(D108+D109+D112+D124)/D128</f>
        <v>0.51019260508927311</v>
      </c>
      <c r="E67" s="53">
        <f t="shared" si="19"/>
        <v>0.6372760836865855</v>
      </c>
      <c r="F67" s="53">
        <f t="shared" si="19"/>
        <v>0.69966367106923977</v>
      </c>
      <c r="G67" s="53">
        <f t="shared" si="19"/>
        <v>0.70326528849992664</v>
      </c>
      <c r="H67" s="53">
        <f t="shared" si="19"/>
        <v>0.71750528710149208</v>
      </c>
      <c r="I67" s="53">
        <f t="shared" ref="I67" si="20">(I108+I109+I112+I124)/I128</f>
        <v>0.72128723164671216</v>
      </c>
      <c r="J67" s="225"/>
    </row>
    <row r="68" spans="1:13" x14ac:dyDescent="0.3">
      <c r="B68" s="128" t="s">
        <v>47</v>
      </c>
      <c r="C68" s="53"/>
      <c r="D68" s="53">
        <f t="shared" ref="D68:I68" si="21">(D102+D103+D104+D107+D110+D111+D113+D114+D117+D118+D119+D120+D121+D122+D125+D126)/D128</f>
        <v>0.28771263883031067</v>
      </c>
      <c r="E68" s="53">
        <f t="shared" si="21"/>
        <v>0.25788777975295135</v>
      </c>
      <c r="F68" s="53">
        <f t="shared" si="21"/>
        <v>0.22590537357232798</v>
      </c>
      <c r="G68" s="53">
        <f t="shared" si="21"/>
        <v>0.23591410323683315</v>
      </c>
      <c r="H68" s="53">
        <f t="shared" si="21"/>
        <v>0.2250712667773446</v>
      </c>
      <c r="I68" s="53">
        <f t="shared" si="21"/>
        <v>0.22409589975081037</v>
      </c>
      <c r="J68" s="225"/>
    </row>
    <row r="69" spans="1:13" ht="15" thickBot="1" x14ac:dyDescent="0.35">
      <c r="B69" s="129" t="s">
        <v>48</v>
      </c>
      <c r="C69" s="56"/>
      <c r="D69" s="56">
        <f t="shared" ref="D69:I69" si="22">(D206+D207+D208+D209)/(D98-D87)</f>
        <v>3.4109440947503213E-2</v>
      </c>
      <c r="E69" s="56">
        <f t="shared" si="22"/>
        <v>5.5283325498675165E-2</v>
      </c>
      <c r="F69" s="56">
        <f t="shared" si="22"/>
        <v>0.10624926393992065</v>
      </c>
      <c r="G69" s="56">
        <f t="shared" si="22"/>
        <v>0.10609815699188846</v>
      </c>
      <c r="H69" s="56">
        <f t="shared" si="22"/>
        <v>0.10657367200842198</v>
      </c>
      <c r="I69" s="56">
        <f t="shared" si="22"/>
        <v>0.10834912146314167</v>
      </c>
      <c r="J69" s="225"/>
    </row>
    <row r="70" spans="1:13" s="62" customFormat="1" x14ac:dyDescent="0.3">
      <c r="A70" s="57"/>
      <c r="B70" s="58"/>
      <c r="C70" s="154"/>
      <c r="D70" s="154"/>
      <c r="E70" s="154"/>
      <c r="F70" s="154"/>
      <c r="G70" s="154"/>
      <c r="H70" s="154"/>
      <c r="I70" s="154"/>
      <c r="J70" s="225"/>
    </row>
    <row r="71" spans="1:13" s="62" customFormat="1" x14ac:dyDescent="0.3">
      <c r="A71" s="57"/>
      <c r="C71" s="154"/>
      <c r="D71" s="154"/>
      <c r="E71" s="154"/>
      <c r="F71" s="154"/>
      <c r="G71" s="154"/>
      <c r="H71" s="154"/>
      <c r="I71" s="154"/>
      <c r="J71" s="225"/>
    </row>
    <row r="72" spans="1:13" x14ac:dyDescent="0.3">
      <c r="A72" s="63"/>
      <c r="B72" s="130" t="s">
        <v>405</v>
      </c>
      <c r="C72" s="155" t="str">
        <f t="shared" ref="C72:I72" si="23">C1</f>
        <v>21-22(Pre-Op)</v>
      </c>
      <c r="D72" s="155" t="str">
        <f t="shared" si="23"/>
        <v>22-23</v>
      </c>
      <c r="E72" s="155" t="str">
        <f t="shared" si="23"/>
        <v>23-24</v>
      </c>
      <c r="F72" s="155" t="str">
        <f t="shared" si="23"/>
        <v>24-25</v>
      </c>
      <c r="G72" s="155" t="str">
        <f t="shared" si="23"/>
        <v>25-26</v>
      </c>
      <c r="H72" s="155" t="str">
        <f t="shared" si="23"/>
        <v>26-27</v>
      </c>
      <c r="I72" s="155" t="str">
        <f t="shared" si="23"/>
        <v>27-28</v>
      </c>
      <c r="J72" s="232"/>
      <c r="K72" s="273" t="s">
        <v>221</v>
      </c>
      <c r="L72" s="273" t="s">
        <v>222</v>
      </c>
      <c r="M72" s="273" t="s">
        <v>223</v>
      </c>
    </row>
    <row r="73" spans="1:13" x14ac:dyDescent="0.3">
      <c r="A73" s="67">
        <v>3110</v>
      </c>
      <c r="B73" s="413" t="s">
        <v>339</v>
      </c>
      <c r="C73" s="156">
        <f>'21-22'!I73</f>
        <v>0</v>
      </c>
      <c r="D73" s="156">
        <f>'22-23'!J73</f>
        <v>802249.8</v>
      </c>
      <c r="E73" s="156">
        <f>'23-24'!J73</f>
        <v>2216397.4019999998</v>
      </c>
      <c r="F73" s="156">
        <f>'24-25'!I73</f>
        <v>3367815.8523389995</v>
      </c>
      <c r="G73" s="156">
        <f>'25-26'!I73</f>
        <v>4093916.9501032876</v>
      </c>
      <c r="H73" s="156">
        <f>'26-27'!I73</f>
        <v>4377534.4188132202</v>
      </c>
      <c r="I73" s="156">
        <f>'27-28'!I73</f>
        <v>4667834.0697450442</v>
      </c>
      <c r="J73" s="233"/>
      <c r="K73" s="219">
        <v>200</v>
      </c>
      <c r="L73" s="219">
        <v>280</v>
      </c>
      <c r="M73" s="219">
        <v>364</v>
      </c>
    </row>
    <row r="74" spans="1:13" x14ac:dyDescent="0.3">
      <c r="A74" s="67">
        <v>4500</v>
      </c>
      <c r="B74" s="409" t="s">
        <v>331</v>
      </c>
      <c r="C74" s="156">
        <f>'21-22'!I74</f>
        <v>0</v>
      </c>
      <c r="D74" s="156">
        <f>'22-23'!J74</f>
        <v>90929.51999999999</v>
      </c>
      <c r="E74" s="156">
        <f>'23-24'!J74</f>
        <v>247989.6</v>
      </c>
      <c r="F74" s="156">
        <f>'24-25'!I74</f>
        <v>371984.4</v>
      </c>
      <c r="G74" s="156">
        <f>'25-26'!I74</f>
        <v>446381.28</v>
      </c>
      <c r="H74" s="156">
        <f>'26-27'!I74</f>
        <v>471180.24</v>
      </c>
      <c r="I74" s="156">
        <f>'27-28'!I74</f>
        <v>495979.2</v>
      </c>
      <c r="J74" s="234"/>
      <c r="K74" s="272">
        <v>91981</v>
      </c>
      <c r="L74" s="272">
        <v>89741.34</v>
      </c>
      <c r="M74" s="272">
        <f>233347-50000</f>
        <v>183347</v>
      </c>
    </row>
    <row r="75" spans="1:13" x14ac:dyDescent="0.3">
      <c r="A75" s="67">
        <v>4500</v>
      </c>
      <c r="B75" s="409" t="s">
        <v>330</v>
      </c>
      <c r="C75" s="156">
        <f>'21-22'!I75</f>
        <v>0</v>
      </c>
      <c r="D75" s="156">
        <f>'22-23'!J75</f>
        <v>9500</v>
      </c>
      <c r="E75" s="156">
        <f>'23-24'!J75</f>
        <v>12540</v>
      </c>
      <c r="F75" s="156">
        <f>'24-25'!I75</f>
        <v>34200</v>
      </c>
      <c r="G75" s="156">
        <f>'25-26'!I75</f>
        <v>51300</v>
      </c>
      <c r="H75" s="156">
        <f>'26-27'!I75</f>
        <v>61560</v>
      </c>
      <c r="I75" s="156">
        <f>'27-28'!I75</f>
        <v>64979.999999999993</v>
      </c>
      <c r="J75" s="235"/>
      <c r="L75" s="274"/>
    </row>
    <row r="76" spans="1:13" x14ac:dyDescent="0.3">
      <c r="A76" s="74">
        <v>3115</v>
      </c>
      <c r="B76" s="410" t="s">
        <v>51</v>
      </c>
      <c r="C76" s="156">
        <f>'21-22'!I76</f>
        <v>0</v>
      </c>
      <c r="D76" s="156">
        <f>'22-23'!J76</f>
        <v>0</v>
      </c>
      <c r="E76" s="156">
        <f>'23-24'!J76</f>
        <v>36366</v>
      </c>
      <c r="F76" s="156">
        <f>'24-25'!I76</f>
        <v>99180</v>
      </c>
      <c r="G76" s="156">
        <f>'25-26'!I76</f>
        <v>148770</v>
      </c>
      <c r="H76" s="156">
        <f>'26-27'!I76</f>
        <v>178524</v>
      </c>
      <c r="I76" s="156">
        <f>'27-28'!I76</f>
        <v>188441.99999999997</v>
      </c>
      <c r="J76" s="235"/>
    </row>
    <row r="77" spans="1:13" x14ac:dyDescent="0.3">
      <c r="A77" s="74"/>
      <c r="B77" s="410" t="s">
        <v>384</v>
      </c>
      <c r="C77" s="156">
        <f>'21-22'!I77</f>
        <v>0</v>
      </c>
      <c r="D77" s="156">
        <f>'22-23'!J77</f>
        <v>36184.5</v>
      </c>
      <c r="E77" s="156">
        <f>'23-24'!J77</f>
        <v>92880</v>
      </c>
      <c r="F77" s="156">
        <f>'24-25'!I77</f>
        <v>139320</v>
      </c>
      <c r="G77" s="156">
        <f>'25-26'!I77</f>
        <v>167184</v>
      </c>
      <c r="H77" s="156">
        <f>'26-27'!I77</f>
        <v>176472</v>
      </c>
      <c r="I77" s="156">
        <f>'27-28'!I77</f>
        <v>185760</v>
      </c>
      <c r="J77" s="235"/>
    </row>
    <row r="78" spans="1:13" x14ac:dyDescent="0.3">
      <c r="A78" s="74"/>
      <c r="B78" s="410" t="s">
        <v>390</v>
      </c>
      <c r="C78" s="156">
        <f>'21-22'!I78</f>
        <v>0</v>
      </c>
      <c r="D78" s="156">
        <f>'22-23'!J78</f>
        <v>10370</v>
      </c>
      <c r="E78" s="156">
        <f>'23-24'!J78</f>
        <v>9350</v>
      </c>
      <c r="F78" s="156">
        <f>'24-25'!I78</f>
        <v>25500</v>
      </c>
      <c r="G78" s="156">
        <f>'25-26'!I78</f>
        <v>38250</v>
      </c>
      <c r="H78" s="156">
        <f>'26-27'!I78</f>
        <v>45900</v>
      </c>
      <c r="I78" s="156">
        <f>'27-28'!I78</f>
        <v>48450</v>
      </c>
      <c r="J78" s="235"/>
      <c r="K78" s="221">
        <f>15000/D19</f>
        <v>136.36363636363637</v>
      </c>
    </row>
    <row r="79" spans="1:13" x14ac:dyDescent="0.3">
      <c r="A79" s="74"/>
      <c r="B79" s="409" t="s">
        <v>416</v>
      </c>
      <c r="C79" s="156">
        <f>'21-22'!I79</f>
        <v>0</v>
      </c>
      <c r="D79" s="156">
        <f>'22-23'!J79</f>
        <v>0</v>
      </c>
      <c r="E79" s="156">
        <f>'23-24'!J79</f>
        <v>37791.137999999999</v>
      </c>
      <c r="F79" s="156">
        <f>'24-25'!I79</f>
        <v>103066.74</v>
      </c>
      <c r="G79" s="156">
        <f>'25-26'!I79</f>
        <v>154600.11000000002</v>
      </c>
      <c r="H79" s="156">
        <f>'26-27'!I79</f>
        <v>185520.13199999998</v>
      </c>
      <c r="I79" s="156">
        <f>'27-28'!I79</f>
        <v>195826.80599999998</v>
      </c>
      <c r="J79" s="235"/>
      <c r="K79" s="414">
        <f>7074*0.23</f>
        <v>1627.02</v>
      </c>
      <c r="L79" s="219" t="s">
        <v>342</v>
      </c>
    </row>
    <row r="80" spans="1:13" x14ac:dyDescent="0.3">
      <c r="A80" s="67">
        <v>3200</v>
      </c>
      <c r="B80" s="409" t="s">
        <v>332</v>
      </c>
      <c r="C80" s="156">
        <f>'21-22'!I80</f>
        <v>0</v>
      </c>
      <c r="D80" s="156">
        <f>'22-23'!J80</f>
        <v>0</v>
      </c>
      <c r="E80" s="156">
        <f>'23-24'!J80</f>
        <v>0</v>
      </c>
      <c r="F80" s="156">
        <f>'24-25'!I80</f>
        <v>0</v>
      </c>
      <c r="G80" s="156">
        <f>'25-26'!I80</f>
        <v>0</v>
      </c>
      <c r="H80" s="156">
        <f>'26-27'!I80</f>
        <v>0</v>
      </c>
      <c r="I80" s="156">
        <f>'27-28'!I80</f>
        <v>0</v>
      </c>
      <c r="J80" s="235"/>
      <c r="K80" s="414">
        <f>7074*0.12</f>
        <v>848.88</v>
      </c>
      <c r="L80" s="219" t="s">
        <v>343</v>
      </c>
    </row>
    <row r="81" spans="1:16" x14ac:dyDescent="0.3">
      <c r="A81" s="67"/>
      <c r="B81" s="409" t="s">
        <v>334</v>
      </c>
      <c r="C81" s="156">
        <f>'21-22'!I81</f>
        <v>0</v>
      </c>
      <c r="D81" s="156">
        <f>'22-23'!J81</f>
        <v>0</v>
      </c>
      <c r="E81" s="156">
        <f>'23-24'!J81</f>
        <v>15659.79074</v>
      </c>
      <c r="F81" s="156">
        <f>'24-25'!I81</f>
        <v>42708.520199999992</v>
      </c>
      <c r="G81" s="156">
        <f>'25-26'!I81</f>
        <v>64062.780300000006</v>
      </c>
      <c r="H81" s="156">
        <f>'26-27'!I81</f>
        <v>76875.336360000001</v>
      </c>
      <c r="I81" s="156">
        <f>'27-28'!I81</f>
        <v>81146.188380000007</v>
      </c>
      <c r="J81" s="225"/>
      <c r="K81" s="414">
        <f>7074*0.03</f>
        <v>212.22</v>
      </c>
      <c r="L81" s="274" t="s">
        <v>344</v>
      </c>
      <c r="M81" s="274"/>
    </row>
    <row r="82" spans="1:16" x14ac:dyDescent="0.3">
      <c r="A82" s="67"/>
      <c r="B82" s="71" t="s">
        <v>456</v>
      </c>
      <c r="C82" s="156">
        <f>'21-22'!I82</f>
        <v>262908</v>
      </c>
      <c r="D82" s="156">
        <f>'22-23'!J82</f>
        <v>419781.1</v>
      </c>
      <c r="E82" s="156">
        <f>'23-24'!J82</f>
        <v>292311.2</v>
      </c>
      <c r="F82" s="156">
        <f>'24-25'!I82</f>
        <v>0</v>
      </c>
      <c r="G82" s="156">
        <f>'25-26'!I82</f>
        <v>0</v>
      </c>
      <c r="H82" s="156">
        <f>'26-27'!I82</f>
        <v>0</v>
      </c>
      <c r="I82" s="156">
        <f>'27-28'!I82</f>
        <v>0</v>
      </c>
      <c r="J82" s="225"/>
      <c r="K82" s="274"/>
      <c r="L82" s="274"/>
      <c r="M82" s="274"/>
    </row>
    <row r="83" spans="1:16" x14ac:dyDescent="0.3">
      <c r="A83" s="67"/>
      <c r="B83" s="549" t="s">
        <v>454</v>
      </c>
      <c r="C83" s="547">
        <f>'21-22'!I83</f>
        <v>1228867</v>
      </c>
      <c r="D83" s="547">
        <f>'22-23'!J83</f>
        <v>200000</v>
      </c>
      <c r="E83" s="547">
        <f>'23-24'!J83</f>
        <v>0</v>
      </c>
      <c r="F83" s="547">
        <f>'24-25'!I83</f>
        <v>0</v>
      </c>
      <c r="G83" s="547">
        <f>'25-26'!I83</f>
        <v>0</v>
      </c>
      <c r="H83" s="547">
        <f>'26-27'!I83</f>
        <v>0</v>
      </c>
      <c r="I83" s="547">
        <f>'27-28'!I83</f>
        <v>0</v>
      </c>
      <c r="J83" s="225"/>
      <c r="K83" s="274"/>
      <c r="L83" s="274"/>
      <c r="M83" s="274"/>
    </row>
    <row r="84" spans="1:16" ht="15" thickBot="1" x14ac:dyDescent="0.35">
      <c r="A84" s="67"/>
      <c r="B84" s="82" t="s">
        <v>428</v>
      </c>
      <c r="C84" s="156">
        <f>'21-22'!I84</f>
        <v>0</v>
      </c>
      <c r="D84" s="156">
        <f>'22-23'!J84</f>
        <v>0</v>
      </c>
      <c r="E84" s="156">
        <f>'23-24'!J84</f>
        <v>0</v>
      </c>
      <c r="F84" s="156">
        <f>'24-25'!I84</f>
        <v>0</v>
      </c>
      <c r="G84" s="156">
        <f>'25-26'!I84</f>
        <v>0</v>
      </c>
      <c r="H84" s="156">
        <f>'26-27'!I84</f>
        <v>0</v>
      </c>
      <c r="I84" s="156">
        <f>'27-28'!I84</f>
        <v>0</v>
      </c>
      <c r="J84" s="431"/>
      <c r="K84" s="167"/>
    </row>
    <row r="85" spans="1:16" ht="15" thickBot="1" x14ac:dyDescent="0.35">
      <c r="A85" s="75"/>
      <c r="B85" s="131" t="s">
        <v>52</v>
      </c>
      <c r="C85" s="77">
        <f t="shared" ref="C85:I85" si="24">SUM(C73:C84)</f>
        <v>1491775</v>
      </c>
      <c r="D85" s="77">
        <f t="shared" si="24"/>
        <v>1569014.92</v>
      </c>
      <c r="E85" s="77">
        <f t="shared" si="24"/>
        <v>2961285.1307399999</v>
      </c>
      <c r="F85" s="77">
        <f t="shared" si="24"/>
        <v>4183775.5125389998</v>
      </c>
      <c r="G85" s="77">
        <f t="shared" si="24"/>
        <v>5164465.1204032879</v>
      </c>
      <c r="H85" s="77">
        <f t="shared" si="24"/>
        <v>5573566.1271732207</v>
      </c>
      <c r="I85" s="77">
        <f t="shared" si="24"/>
        <v>5928418.2641250445</v>
      </c>
      <c r="J85" s="225"/>
      <c r="K85" s="260">
        <f>D85-D159</f>
        <v>1558986.7974999999</v>
      </c>
      <c r="L85" s="260">
        <f t="shared" ref="L85:P85" si="25">E85-E159</f>
        <v>2931789.3149965</v>
      </c>
      <c r="M85" s="260">
        <f t="shared" si="25"/>
        <v>4136793.6828797623</v>
      </c>
      <c r="N85" s="260">
        <f t="shared" si="25"/>
        <v>5105964.9612694969</v>
      </c>
      <c r="O85" s="260">
        <f t="shared" si="25"/>
        <v>5510055.5102290558</v>
      </c>
      <c r="P85" s="260">
        <f t="shared" si="25"/>
        <v>5860790.4883937314</v>
      </c>
    </row>
    <row r="86" spans="1:16" hidden="1" x14ac:dyDescent="0.3">
      <c r="A86" s="78"/>
      <c r="B86" s="71" t="s">
        <v>53</v>
      </c>
      <c r="C86" s="156">
        <f>'21-22'!I86</f>
        <v>0</v>
      </c>
      <c r="D86" s="156">
        <f>'22-23'!J86</f>
        <v>802249.8</v>
      </c>
      <c r="E86" s="156">
        <f>'23-24'!J86</f>
        <v>2216397.4019999998</v>
      </c>
      <c r="F86" s="156">
        <f>'24-25'!I86</f>
        <v>3367815.8523389995</v>
      </c>
      <c r="G86" s="156">
        <f>'25-26'!I86</f>
        <v>4093916.9501032876</v>
      </c>
      <c r="H86" s="156">
        <f>'26-27'!I86</f>
        <v>4377534.4188132202</v>
      </c>
      <c r="I86" s="156">
        <f>'27-28'!I86</f>
        <v>4667834.0697450442</v>
      </c>
      <c r="J86" s="231"/>
    </row>
    <row r="87" spans="1:16" hidden="1" x14ac:dyDescent="0.3">
      <c r="A87" s="67"/>
      <c r="B87" s="409" t="str">
        <f>B74</f>
        <v>National School Lunch Program (NSLP)</v>
      </c>
      <c r="C87" s="156">
        <f>'21-22'!I87</f>
        <v>0</v>
      </c>
      <c r="D87" s="156">
        <f>'22-23'!J87</f>
        <v>90929.51999999999</v>
      </c>
      <c r="E87" s="156">
        <f>'23-24'!J87</f>
        <v>247989.6</v>
      </c>
      <c r="F87" s="156">
        <f>'24-25'!I87</f>
        <v>371984.4</v>
      </c>
      <c r="G87" s="156">
        <f>'25-26'!I87</f>
        <v>446381.28</v>
      </c>
      <c r="H87" s="156">
        <f>'26-27'!I87</f>
        <v>471180.24</v>
      </c>
      <c r="I87" s="156">
        <f>'27-28'!I87</f>
        <v>495979.2</v>
      </c>
      <c r="J87" s="225"/>
    </row>
    <row r="88" spans="1:16" hidden="1" x14ac:dyDescent="0.3">
      <c r="A88" s="67"/>
      <c r="B88" s="409" t="str">
        <f>B75</f>
        <v>SPED Funding (Part B)</v>
      </c>
      <c r="C88" s="156">
        <f>'21-22'!I88</f>
        <v>0</v>
      </c>
      <c r="D88" s="156">
        <f>'22-23'!J88</f>
        <v>9500</v>
      </c>
      <c r="E88" s="156">
        <f>'23-24'!J88</f>
        <v>12540</v>
      </c>
      <c r="F88" s="156">
        <f>'24-25'!I88</f>
        <v>34200</v>
      </c>
      <c r="G88" s="156">
        <f>'25-26'!I88</f>
        <v>51300</v>
      </c>
      <c r="H88" s="156">
        <f>'26-27'!I88</f>
        <v>61560</v>
      </c>
      <c r="I88" s="156">
        <f>'27-28'!I88</f>
        <v>64979.999999999993</v>
      </c>
      <c r="J88" s="225"/>
    </row>
    <row r="89" spans="1:16" hidden="1" x14ac:dyDescent="0.3">
      <c r="A89" s="74"/>
      <c r="B89" s="409" t="str">
        <f>B76</f>
        <v>SPED Discretionary Unit</v>
      </c>
      <c r="C89" s="156">
        <f>'21-22'!I89</f>
        <v>0</v>
      </c>
      <c r="D89" s="156">
        <f>'22-23'!J89</f>
        <v>0</v>
      </c>
      <c r="E89" s="156">
        <f>'23-24'!J89</f>
        <v>36366</v>
      </c>
      <c r="F89" s="156">
        <f>'24-25'!I89</f>
        <v>99180</v>
      </c>
      <c r="G89" s="156">
        <f>'25-26'!I89</f>
        <v>148770</v>
      </c>
      <c r="H89" s="156">
        <f>'26-27'!I89</f>
        <v>178524</v>
      </c>
      <c r="I89" s="156">
        <f>'27-28'!I89</f>
        <v>188441.99999999997</v>
      </c>
      <c r="J89" s="225"/>
    </row>
    <row r="90" spans="1:16" hidden="1" x14ac:dyDescent="0.3">
      <c r="A90" s="74"/>
      <c r="B90" s="409" t="s">
        <v>384</v>
      </c>
      <c r="C90" s="156">
        <f>'21-22'!I90</f>
        <v>0</v>
      </c>
      <c r="D90" s="156">
        <f>'22-23'!J90</f>
        <v>36184.5</v>
      </c>
      <c r="E90" s="156">
        <f>'23-24'!J90</f>
        <v>92880</v>
      </c>
      <c r="F90" s="156">
        <f>'24-25'!I90</f>
        <v>139320</v>
      </c>
      <c r="G90" s="156">
        <f>'25-26'!I90</f>
        <v>167184</v>
      </c>
      <c r="H90" s="156">
        <f>'26-27'!I90</f>
        <v>176472</v>
      </c>
      <c r="I90" s="156">
        <f>'27-28'!I90</f>
        <v>185760</v>
      </c>
      <c r="J90" s="225"/>
    </row>
    <row r="91" spans="1:16" hidden="1" x14ac:dyDescent="0.3">
      <c r="A91" s="74"/>
      <c r="B91" s="409" t="s">
        <v>390</v>
      </c>
      <c r="C91" s="156">
        <f>'21-22'!I91</f>
        <v>0</v>
      </c>
      <c r="D91" s="156">
        <f>'22-23'!J91</f>
        <v>10370</v>
      </c>
      <c r="E91" s="156">
        <f>'23-24'!J91</f>
        <v>9350</v>
      </c>
      <c r="F91" s="156">
        <f>'24-25'!I91</f>
        <v>25500</v>
      </c>
      <c r="G91" s="156">
        <f>'25-26'!I91</f>
        <v>38250</v>
      </c>
      <c r="H91" s="156">
        <f>'26-27'!I91</f>
        <v>45900</v>
      </c>
      <c r="I91" s="156">
        <f>'27-28'!I91</f>
        <v>48450</v>
      </c>
      <c r="J91" s="225"/>
    </row>
    <row r="92" spans="1:16" hidden="1" x14ac:dyDescent="0.3">
      <c r="A92" s="67"/>
      <c r="B92" s="409" t="str">
        <f t="shared" ref="B92:B97" si="26">B79</f>
        <v>EL Weight</v>
      </c>
      <c r="C92" s="156">
        <f>'21-22'!I92</f>
        <v>0</v>
      </c>
      <c r="D92" s="156">
        <f>'22-23'!J92</f>
        <v>0</v>
      </c>
      <c r="E92" s="156">
        <f>'23-24'!J92</f>
        <v>37791.137999999999</v>
      </c>
      <c r="F92" s="156">
        <f>'24-25'!I92</f>
        <v>103066.74</v>
      </c>
      <c r="G92" s="156">
        <f>'25-26'!I92</f>
        <v>154600.11000000002</v>
      </c>
      <c r="H92" s="156">
        <f>'26-27'!I92</f>
        <v>185520.13199999998</v>
      </c>
      <c r="I92" s="156">
        <f>'27-28'!I92</f>
        <v>195826.80599999998</v>
      </c>
      <c r="J92" s="225"/>
    </row>
    <row r="93" spans="1:16" hidden="1" x14ac:dyDescent="0.3">
      <c r="A93" s="67"/>
      <c r="B93" s="409" t="str">
        <f t="shared" si="26"/>
        <v>Gifted and Talented Education (GATE) Weight</v>
      </c>
      <c r="C93" s="156">
        <f>'21-22'!I93</f>
        <v>0</v>
      </c>
      <c r="D93" s="156">
        <f>'22-23'!J93</f>
        <v>0</v>
      </c>
      <c r="E93" s="156">
        <f>'23-24'!J93</f>
        <v>0</v>
      </c>
      <c r="F93" s="156">
        <f>'24-25'!I93</f>
        <v>0</v>
      </c>
      <c r="G93" s="156">
        <f>'25-26'!I93</f>
        <v>0</v>
      </c>
      <c r="H93" s="156">
        <f>'26-27'!I93</f>
        <v>0</v>
      </c>
      <c r="I93" s="156">
        <f>'27-28'!I93</f>
        <v>0</v>
      </c>
      <c r="J93" s="225"/>
    </row>
    <row r="94" spans="1:16" hidden="1" x14ac:dyDescent="0.3">
      <c r="A94" s="67"/>
      <c r="B94" s="409" t="str">
        <f t="shared" si="26"/>
        <v>At-Risk Weight</v>
      </c>
      <c r="C94" s="156">
        <f>'21-22'!I94</f>
        <v>0</v>
      </c>
      <c r="D94" s="156">
        <f>'22-23'!J94</f>
        <v>0</v>
      </c>
      <c r="E94" s="156">
        <f>'23-24'!J94</f>
        <v>15659.79074</v>
      </c>
      <c r="F94" s="156">
        <f>'24-25'!I94</f>
        <v>42708.520199999992</v>
      </c>
      <c r="G94" s="156">
        <f>'25-26'!I94</f>
        <v>64062.780300000006</v>
      </c>
      <c r="H94" s="156">
        <f>'26-27'!I94</f>
        <v>76875.336360000001</v>
      </c>
      <c r="I94" s="156">
        <f>'27-28'!I94</f>
        <v>81146.188380000007</v>
      </c>
      <c r="J94" s="225"/>
    </row>
    <row r="95" spans="1:16" hidden="1" x14ac:dyDescent="0.3">
      <c r="A95" s="67"/>
      <c r="B95" s="409" t="str">
        <f t="shared" si="26"/>
        <v>OTHER: Charter School Program (CSP) Grant</v>
      </c>
      <c r="C95" s="156">
        <f>'21-22'!I95</f>
        <v>262908</v>
      </c>
      <c r="D95" s="156">
        <f>'22-23'!J95</f>
        <v>419781.1</v>
      </c>
      <c r="E95" s="156">
        <f>'23-24'!J95</f>
        <v>292311.2</v>
      </c>
      <c r="F95" s="156">
        <f>'24-25'!I95</f>
        <v>0</v>
      </c>
      <c r="G95" s="156">
        <f>'25-26'!I95</f>
        <v>0</v>
      </c>
      <c r="H95" s="156">
        <f>'26-27'!I95</f>
        <v>0</v>
      </c>
      <c r="I95" s="156">
        <f>'27-28'!I95</f>
        <v>0</v>
      </c>
      <c r="J95" s="225"/>
    </row>
    <row r="96" spans="1:16" hidden="1" x14ac:dyDescent="0.3">
      <c r="A96" s="67"/>
      <c r="B96" s="409" t="str">
        <f t="shared" si="26"/>
        <v>OTHER: Donation (Sands Corporation)</v>
      </c>
      <c r="C96" s="156">
        <f>'21-22'!I96</f>
        <v>1228867</v>
      </c>
      <c r="D96" s="156">
        <f>'22-23'!J96</f>
        <v>200000</v>
      </c>
      <c r="E96" s="156">
        <f>'23-24'!J96</f>
        <v>0</v>
      </c>
      <c r="F96" s="156">
        <f>'24-25'!I96</f>
        <v>0</v>
      </c>
      <c r="G96" s="156">
        <f>'25-26'!I96</f>
        <v>0</v>
      </c>
      <c r="H96" s="156">
        <f>'26-27'!I96</f>
        <v>0</v>
      </c>
      <c r="I96" s="156">
        <f>'27-28'!I96</f>
        <v>0</v>
      </c>
      <c r="J96" s="225"/>
    </row>
    <row r="97" spans="1:19" hidden="1" x14ac:dyDescent="0.3">
      <c r="A97" s="67"/>
      <c r="B97" s="409" t="str">
        <f t="shared" si="26"/>
        <v>OTHER: Tenant Improvements Donation</v>
      </c>
      <c r="C97" s="156">
        <f>'21-22'!I97</f>
        <v>0</v>
      </c>
      <c r="D97" s="156">
        <f>'22-23'!J97</f>
        <v>0</v>
      </c>
      <c r="E97" s="156">
        <f>'23-24'!J97</f>
        <v>0</v>
      </c>
      <c r="F97" s="156">
        <f>'24-25'!I97</f>
        <v>0</v>
      </c>
      <c r="G97" s="156">
        <f>'25-26'!I97</f>
        <v>0</v>
      </c>
      <c r="H97" s="156">
        <f>'26-27'!I97</f>
        <v>0</v>
      </c>
      <c r="I97" s="156">
        <f>'27-28'!I97</f>
        <v>0</v>
      </c>
      <c r="J97" s="225"/>
    </row>
    <row r="98" spans="1:19" hidden="1" x14ac:dyDescent="0.3">
      <c r="A98" s="67"/>
      <c r="B98" s="132" t="s">
        <v>54</v>
      </c>
      <c r="C98" s="158">
        <f t="shared" ref="C98:I98" si="27">SUM(C86:C97)</f>
        <v>1491775</v>
      </c>
      <c r="D98" s="158">
        <f t="shared" si="27"/>
        <v>1569014.92</v>
      </c>
      <c r="E98" s="158">
        <f t="shared" si="27"/>
        <v>2961285.1307399999</v>
      </c>
      <c r="F98" s="158">
        <f t="shared" si="27"/>
        <v>4183775.5125389998</v>
      </c>
      <c r="G98" s="158">
        <f t="shared" si="27"/>
        <v>5164465.1204032879</v>
      </c>
      <c r="H98" s="158">
        <f t="shared" si="27"/>
        <v>5573566.1271732207</v>
      </c>
      <c r="I98" s="158">
        <f t="shared" si="27"/>
        <v>5928418.2641250445</v>
      </c>
      <c r="J98" s="225"/>
    </row>
    <row r="99" spans="1:19" s="62" customFormat="1" x14ac:dyDescent="0.3">
      <c r="A99" s="57"/>
      <c r="C99" s="154"/>
      <c r="D99" s="154"/>
      <c r="E99" s="154"/>
      <c r="F99" s="154"/>
      <c r="G99" s="154"/>
      <c r="H99" s="154"/>
      <c r="I99" s="154"/>
      <c r="J99" s="225"/>
    </row>
    <row r="100" spans="1:19" s="62" customFormat="1" x14ac:dyDescent="0.3">
      <c r="A100" s="57"/>
      <c r="B100" s="82" t="s">
        <v>55</v>
      </c>
      <c r="C100" s="154"/>
      <c r="D100" s="154"/>
      <c r="E100" s="154"/>
      <c r="F100" s="154"/>
      <c r="G100" s="154"/>
      <c r="H100" s="154"/>
      <c r="I100" s="154"/>
      <c r="J100" s="225"/>
    </row>
    <row r="101" spans="1:19" x14ac:dyDescent="0.3">
      <c r="A101" s="70"/>
      <c r="B101" s="133" t="s">
        <v>56</v>
      </c>
      <c r="C101" s="150" t="str">
        <f t="shared" ref="C101:I101" si="28">C1</f>
        <v>21-22(Pre-Op)</v>
      </c>
      <c r="D101" s="150" t="str">
        <f t="shared" si="28"/>
        <v>22-23</v>
      </c>
      <c r="E101" s="150" t="str">
        <f t="shared" si="28"/>
        <v>23-24</v>
      </c>
      <c r="F101" s="150" t="str">
        <f t="shared" si="28"/>
        <v>24-25</v>
      </c>
      <c r="G101" s="150" t="str">
        <f t="shared" si="28"/>
        <v>25-26</v>
      </c>
      <c r="H101" s="150" t="str">
        <f t="shared" si="28"/>
        <v>26-27</v>
      </c>
      <c r="I101" s="150" t="str">
        <f t="shared" si="28"/>
        <v>27-28</v>
      </c>
      <c r="J101" s="230"/>
    </row>
    <row r="102" spans="1:19" x14ac:dyDescent="0.3">
      <c r="A102" s="67">
        <v>104</v>
      </c>
      <c r="B102" s="71" t="s">
        <v>30</v>
      </c>
      <c r="C102" s="156">
        <f>'21-22'!I102</f>
        <v>100000</v>
      </c>
      <c r="D102" s="156">
        <f>'22-23'!J102</f>
        <v>100000</v>
      </c>
      <c r="E102" s="156">
        <f>'23-24'!J102</f>
        <v>102000</v>
      </c>
      <c r="F102" s="156">
        <f>'24-25'!I102</f>
        <v>104040</v>
      </c>
      <c r="G102" s="156">
        <f>'25-26'!I102</f>
        <v>106120.8</v>
      </c>
      <c r="H102" s="156">
        <f>'26-27'!I102</f>
        <v>112500</v>
      </c>
      <c r="I102" s="156">
        <f>'27-28'!I102</f>
        <v>114187.49999999999</v>
      </c>
      <c r="J102" s="225"/>
    </row>
    <row r="103" spans="1:19" x14ac:dyDescent="0.3">
      <c r="A103" s="67">
        <v>104</v>
      </c>
      <c r="B103" s="71" t="s">
        <v>57</v>
      </c>
      <c r="C103" s="156">
        <f>'21-22'!I103</f>
        <v>0</v>
      </c>
      <c r="D103" s="156">
        <f>'22-23'!J103</f>
        <v>0</v>
      </c>
      <c r="E103" s="156">
        <f>'23-24'!J103</f>
        <v>0</v>
      </c>
      <c r="F103" s="156">
        <f>'24-25'!I103</f>
        <v>75000</v>
      </c>
      <c r="G103" s="156">
        <f>'25-26'!I103</f>
        <v>76500</v>
      </c>
      <c r="H103" s="156">
        <f>'26-27'!I103</f>
        <v>77647.499999999985</v>
      </c>
      <c r="I103" s="156">
        <f>'27-28'!I103</f>
        <v>78812.21249999998</v>
      </c>
      <c r="J103" s="225"/>
    </row>
    <row r="104" spans="1:19" x14ac:dyDescent="0.3">
      <c r="A104" s="67">
        <v>105</v>
      </c>
      <c r="B104" s="71" t="s">
        <v>415</v>
      </c>
      <c r="C104" s="156">
        <f>'21-22'!I104</f>
        <v>16250</v>
      </c>
      <c r="D104" s="156">
        <f>'22-23'!J104</f>
        <v>0</v>
      </c>
      <c r="E104" s="156">
        <f>'23-24'!J104</f>
        <v>65000</v>
      </c>
      <c r="F104" s="156">
        <f>'24-25'!I104</f>
        <v>0</v>
      </c>
      <c r="G104" s="156">
        <f>'25-26'!I104</f>
        <v>58000</v>
      </c>
      <c r="H104" s="156">
        <f>'26-27'!I104</f>
        <v>58869.999999999993</v>
      </c>
      <c r="I104" s="156">
        <f>'27-28'!I104</f>
        <v>59753.049999999988</v>
      </c>
      <c r="J104" s="225"/>
    </row>
    <row r="105" spans="1:19" x14ac:dyDescent="0.3">
      <c r="A105" s="67">
        <v>105</v>
      </c>
      <c r="B105" s="470" t="s">
        <v>417</v>
      </c>
      <c r="C105" s="156">
        <f>'21-22'!I105</f>
        <v>0</v>
      </c>
      <c r="D105" s="156">
        <f>'22-23'!J105</f>
        <v>50000</v>
      </c>
      <c r="E105" s="156">
        <f>'23-24'!J105</f>
        <v>50000</v>
      </c>
      <c r="F105" s="156">
        <f>'24-25'!I105</f>
        <v>51000</v>
      </c>
      <c r="G105" s="156">
        <f>'25-26'!I105</f>
        <v>52020</v>
      </c>
      <c r="H105" s="156">
        <f>'26-27'!I105</f>
        <v>52800.299999999996</v>
      </c>
      <c r="I105" s="156">
        <f>'27-28'!I105</f>
        <v>53592.304499999991</v>
      </c>
      <c r="J105" s="225"/>
    </row>
    <row r="106" spans="1:19" x14ac:dyDescent="0.3">
      <c r="A106" s="67">
        <v>105</v>
      </c>
      <c r="B106" s="471" t="s">
        <v>413</v>
      </c>
      <c r="C106" s="156">
        <f>'21-22'!I106</f>
        <v>15000</v>
      </c>
      <c r="D106" s="156">
        <f>'22-23'!J106</f>
        <v>65000</v>
      </c>
      <c r="E106" s="156">
        <f>'23-24'!J106</f>
        <v>65000</v>
      </c>
      <c r="F106" s="156">
        <f>'24-25'!I106</f>
        <v>66300</v>
      </c>
      <c r="G106" s="156">
        <f>'25-26'!I106</f>
        <v>67626</v>
      </c>
      <c r="H106" s="156">
        <f>'26-27'!I106</f>
        <v>68640.39</v>
      </c>
      <c r="I106" s="156">
        <f>'27-28'!I106</f>
        <v>69669.995849999992</v>
      </c>
      <c r="J106" s="225"/>
    </row>
    <row r="107" spans="1:19" x14ac:dyDescent="0.3">
      <c r="A107" s="67">
        <v>105</v>
      </c>
      <c r="B107" s="71" t="s">
        <v>425</v>
      </c>
      <c r="C107" s="156">
        <f>'21-22'!I107</f>
        <v>0</v>
      </c>
      <c r="D107" s="156">
        <f>'22-23'!J107</f>
        <v>0</v>
      </c>
      <c r="E107" s="156">
        <f>'23-24'!J107</f>
        <v>0</v>
      </c>
      <c r="F107" s="156">
        <f>'24-25'!I107</f>
        <v>58500</v>
      </c>
      <c r="G107" s="156">
        <f>'25-26'!I107</f>
        <v>59670</v>
      </c>
      <c r="H107" s="156">
        <f>'26-27'!I107</f>
        <v>60565.049999999996</v>
      </c>
      <c r="I107" s="156">
        <f>'27-28'!I107</f>
        <v>61473.525749999986</v>
      </c>
      <c r="J107" s="225"/>
      <c r="K107" s="219">
        <v>2023</v>
      </c>
      <c r="L107" s="219">
        <v>2024</v>
      </c>
      <c r="M107" s="250">
        <v>2025</v>
      </c>
      <c r="N107" s="250">
        <v>2026</v>
      </c>
      <c r="O107" s="250">
        <v>2027</v>
      </c>
      <c r="P107" s="250">
        <v>2027</v>
      </c>
      <c r="S107" t="s">
        <v>406</v>
      </c>
    </row>
    <row r="108" spans="1:19" x14ac:dyDescent="0.3">
      <c r="A108" s="67" t="s">
        <v>58</v>
      </c>
      <c r="B108" s="71" t="s">
        <v>59</v>
      </c>
      <c r="C108" s="156">
        <f>'21-22'!I108</f>
        <v>0</v>
      </c>
      <c r="D108" s="156">
        <f>'22-23'!J108</f>
        <v>200000</v>
      </c>
      <c r="E108" s="156">
        <f>'23-24'!J108</f>
        <v>561000</v>
      </c>
      <c r="F108" s="156">
        <f>'24-25'!I108</f>
        <v>910000</v>
      </c>
      <c r="G108" s="156">
        <f>'25-26'!I108</f>
        <v>1139500</v>
      </c>
      <c r="H108" s="156">
        <f>'26-27'!I108</f>
        <v>1269000</v>
      </c>
      <c r="I108" s="156">
        <f>'27-28'!I108</f>
        <v>1347500</v>
      </c>
      <c r="J108" s="226"/>
      <c r="K108" s="221">
        <f t="shared" ref="K108:P108" si="29">D108/(D37-D30)</f>
        <v>50000</v>
      </c>
      <c r="L108" s="221">
        <f t="shared" si="29"/>
        <v>51000</v>
      </c>
      <c r="M108" s="221">
        <f t="shared" si="29"/>
        <v>52000</v>
      </c>
      <c r="N108" s="221">
        <f t="shared" si="29"/>
        <v>53000</v>
      </c>
      <c r="O108" s="221">
        <f t="shared" si="29"/>
        <v>54000</v>
      </c>
      <c r="P108" s="221">
        <f t="shared" si="29"/>
        <v>55000</v>
      </c>
      <c r="S108" s="445" t="s">
        <v>407</v>
      </c>
    </row>
    <row r="109" spans="1:19" x14ac:dyDescent="0.3">
      <c r="A109" s="67">
        <v>101</v>
      </c>
      <c r="B109" s="71" t="s">
        <v>20</v>
      </c>
      <c r="C109" s="156">
        <f>'21-22'!I109</f>
        <v>0</v>
      </c>
      <c r="D109" s="156">
        <f>'22-23'!J109</f>
        <v>50000</v>
      </c>
      <c r="E109" s="156">
        <f>'23-24'!J109</f>
        <v>76500</v>
      </c>
      <c r="F109" s="156">
        <f>'24-25'!I109</f>
        <v>130000</v>
      </c>
      <c r="G109" s="156">
        <f>'25-26'!I109</f>
        <v>159000</v>
      </c>
      <c r="H109" s="156">
        <f>'26-27'!I109</f>
        <v>162000</v>
      </c>
      <c r="I109" s="156">
        <f>'27-28'!I109</f>
        <v>192500</v>
      </c>
      <c r="J109" s="226"/>
      <c r="K109" s="364">
        <f t="shared" ref="K109:P109" si="30">D109/D30</f>
        <v>50000</v>
      </c>
      <c r="L109" s="364">
        <f t="shared" si="30"/>
        <v>51000</v>
      </c>
      <c r="M109" s="364">
        <f t="shared" si="30"/>
        <v>52000</v>
      </c>
      <c r="N109" s="364">
        <f t="shared" si="30"/>
        <v>53000</v>
      </c>
      <c r="O109" s="364">
        <f t="shared" si="30"/>
        <v>54000</v>
      </c>
      <c r="P109" s="364">
        <f t="shared" si="30"/>
        <v>55000</v>
      </c>
      <c r="S109" t="s">
        <v>408</v>
      </c>
    </row>
    <row r="110" spans="1:19" x14ac:dyDescent="0.3">
      <c r="A110" s="67">
        <v>107</v>
      </c>
      <c r="B110" s="71" t="s">
        <v>60</v>
      </c>
      <c r="C110" s="156">
        <f>'21-22'!I110</f>
        <v>20000</v>
      </c>
      <c r="D110" s="156">
        <f>'22-23'!J110</f>
        <v>43000</v>
      </c>
      <c r="E110" s="156">
        <f>'23-24'!J110</f>
        <v>43860</v>
      </c>
      <c r="F110" s="156">
        <f>'24-25'!I110</f>
        <v>44737.200000000004</v>
      </c>
      <c r="G110" s="156">
        <f>'25-26'!I110</f>
        <v>66408.258000000002</v>
      </c>
      <c r="H110" s="156">
        <f>'26-27'!I110</f>
        <v>67404.381869999997</v>
      </c>
      <c r="I110" s="156">
        <f>'27-28'!I110</f>
        <v>90915.447598049985</v>
      </c>
      <c r="J110" s="168"/>
    </row>
    <row r="111" spans="1:19" x14ac:dyDescent="0.3">
      <c r="A111" s="67">
        <v>107</v>
      </c>
      <c r="B111" s="71" t="s">
        <v>61</v>
      </c>
      <c r="C111" s="156">
        <f>'21-22'!I111</f>
        <v>0</v>
      </c>
      <c r="D111" s="156">
        <f>'22-23'!J111</f>
        <v>0</v>
      </c>
      <c r="E111" s="156">
        <f>'23-24'!J111</f>
        <v>21660</v>
      </c>
      <c r="F111" s="156">
        <f>'24-25'!I111</f>
        <v>22040</v>
      </c>
      <c r="G111" s="156">
        <f>'25-26'!I111</f>
        <v>44840</v>
      </c>
      <c r="H111" s="156">
        <f>'26-27'!I111</f>
        <v>45600</v>
      </c>
      <c r="I111" s="156">
        <f>'27-28'!I111</f>
        <v>46360</v>
      </c>
      <c r="J111" s="226"/>
      <c r="L111" s="221">
        <f t="shared" ref="L111:P111" si="31">L108-K108</f>
        <v>1000</v>
      </c>
      <c r="M111" s="221">
        <f t="shared" si="31"/>
        <v>1000</v>
      </c>
      <c r="N111" s="221">
        <f t="shared" si="31"/>
        <v>1000</v>
      </c>
      <c r="O111" s="221">
        <f t="shared" si="31"/>
        <v>1000</v>
      </c>
      <c r="P111" s="221">
        <f t="shared" si="31"/>
        <v>1000</v>
      </c>
    </row>
    <row r="112" spans="1:19" x14ac:dyDescent="0.3">
      <c r="A112" s="67">
        <v>102</v>
      </c>
      <c r="B112" s="71" t="s">
        <v>426</v>
      </c>
      <c r="C112" s="156">
        <f>'21-22'!I112</f>
        <v>0</v>
      </c>
      <c r="D112" s="156">
        <f>'22-23'!J112</f>
        <v>40320</v>
      </c>
      <c r="E112" s="156">
        <f>'23-24'!J112</f>
        <v>61560</v>
      </c>
      <c r="F112" s="156">
        <f>'24-25'!I112</f>
        <v>62640</v>
      </c>
      <c r="G112" s="156">
        <f>'25-26'!I112</f>
        <v>84960</v>
      </c>
      <c r="H112" s="156">
        <f>'26-27'!I112</f>
        <v>86400</v>
      </c>
      <c r="I112" s="156">
        <f>'27-28'!I112</f>
        <v>87840</v>
      </c>
      <c r="J112" s="226"/>
    </row>
    <row r="113" spans="1:16" x14ac:dyDescent="0.3">
      <c r="A113" s="67">
        <v>107</v>
      </c>
      <c r="B113" s="410" t="s">
        <v>457</v>
      </c>
      <c r="C113" s="156">
        <f>'21-22'!I113</f>
        <v>14583</v>
      </c>
      <c r="D113" s="156">
        <f>'22-23'!J113</f>
        <v>0</v>
      </c>
      <c r="E113" s="156">
        <f>'23-24'!J113</f>
        <v>29280</v>
      </c>
      <c r="F113" s="156">
        <f>'24-25'!I113</f>
        <v>30240</v>
      </c>
      <c r="G113" s="156">
        <f>'25-26'!I113</f>
        <v>30720</v>
      </c>
      <c r="H113" s="156">
        <f>'26-27'!I113</f>
        <v>31200</v>
      </c>
      <c r="I113" s="156">
        <f>'27-28'!I113</f>
        <v>31680</v>
      </c>
      <c r="J113" s="226"/>
    </row>
    <row r="114" spans="1:16" x14ac:dyDescent="0.3">
      <c r="A114" s="67">
        <v>107</v>
      </c>
      <c r="B114" s="71" t="s">
        <v>64</v>
      </c>
      <c r="C114" s="156">
        <f>'21-22'!I114</f>
        <v>0</v>
      </c>
      <c r="D114" s="156">
        <f>'22-23'!J114</f>
        <v>0</v>
      </c>
      <c r="E114" s="156">
        <f>'23-24'!J114</f>
        <v>0</v>
      </c>
      <c r="F114" s="156">
        <f>'24-25'!I114</f>
        <v>0</v>
      </c>
      <c r="G114" s="156">
        <f>'25-26'!I114</f>
        <v>0</v>
      </c>
      <c r="H114" s="156">
        <f>'26-27'!I114</f>
        <v>0</v>
      </c>
      <c r="I114" s="156">
        <f>'27-28'!I114</f>
        <v>0</v>
      </c>
      <c r="J114" s="226"/>
    </row>
    <row r="115" spans="1:16" x14ac:dyDescent="0.3">
      <c r="A115" s="63"/>
      <c r="B115" s="134" t="s">
        <v>65</v>
      </c>
      <c r="C115" s="159">
        <f t="shared" ref="C115:I115" si="32">SUM(C102:C114)</f>
        <v>165833</v>
      </c>
      <c r="D115" s="159">
        <f>SUM(D102:D114)</f>
        <v>548320</v>
      </c>
      <c r="E115" s="159">
        <f t="shared" si="32"/>
        <v>1075860</v>
      </c>
      <c r="F115" s="159">
        <f t="shared" si="32"/>
        <v>1554497.2</v>
      </c>
      <c r="G115" s="159">
        <f t="shared" si="32"/>
        <v>1945365.058</v>
      </c>
      <c r="H115" s="159">
        <f t="shared" si="32"/>
        <v>2092627.6218699999</v>
      </c>
      <c r="I115" s="159">
        <f t="shared" si="32"/>
        <v>2234284.0361980498</v>
      </c>
      <c r="J115" s="236"/>
    </row>
    <row r="116" spans="1:16" x14ac:dyDescent="0.3">
      <c r="A116" s="70"/>
      <c r="B116" s="135" t="s">
        <v>66</v>
      </c>
      <c r="C116" s="150" t="str">
        <f t="shared" ref="C116:I116" si="33">C1</f>
        <v>21-22(Pre-Op)</v>
      </c>
      <c r="D116" s="150" t="str">
        <f t="shared" si="33"/>
        <v>22-23</v>
      </c>
      <c r="E116" s="150" t="str">
        <f t="shared" si="33"/>
        <v>23-24</v>
      </c>
      <c r="F116" s="150" t="str">
        <f t="shared" si="33"/>
        <v>24-25</v>
      </c>
      <c r="G116" s="150" t="str">
        <f t="shared" si="33"/>
        <v>25-26</v>
      </c>
      <c r="H116" s="150" t="str">
        <f t="shared" si="33"/>
        <v>26-27</v>
      </c>
      <c r="I116" s="150" t="str">
        <f t="shared" si="33"/>
        <v>27-28</v>
      </c>
      <c r="J116" s="230"/>
    </row>
    <row r="117" spans="1:16" x14ac:dyDescent="0.3">
      <c r="A117" s="67"/>
      <c r="B117" s="71" t="s">
        <v>67</v>
      </c>
      <c r="C117" s="156">
        <f>'21-22'!I117</f>
        <v>0</v>
      </c>
      <c r="D117" s="156">
        <f>'22-23'!J117</f>
        <v>0</v>
      </c>
      <c r="E117" s="156">
        <f>'23-24'!J117</f>
        <v>0</v>
      </c>
      <c r="F117" s="156">
        <f>'24-25'!I117</f>
        <v>0</v>
      </c>
      <c r="G117" s="156">
        <f>'25-26'!I117</f>
        <v>0</v>
      </c>
      <c r="H117" s="156">
        <f>'26-27'!I117</f>
        <v>0</v>
      </c>
      <c r="I117" s="156">
        <f>'27-28'!I117</f>
        <v>0</v>
      </c>
      <c r="J117" s="225"/>
    </row>
    <row r="118" spans="1:16" x14ac:dyDescent="0.3">
      <c r="A118" s="67"/>
      <c r="B118" s="71" t="s">
        <v>37</v>
      </c>
      <c r="C118" s="156">
        <f>'21-22'!I118</f>
        <v>0</v>
      </c>
      <c r="D118" s="156">
        <f>'22-23'!J118</f>
        <v>0</v>
      </c>
      <c r="E118" s="156">
        <f>'23-24'!J118</f>
        <v>0</v>
      </c>
      <c r="F118" s="156">
        <f>'24-25'!I118</f>
        <v>0</v>
      </c>
      <c r="G118" s="156">
        <f>'25-26'!I118</f>
        <v>0</v>
      </c>
      <c r="H118" s="156">
        <f>'26-27'!I118</f>
        <v>0</v>
      </c>
      <c r="I118" s="156">
        <f>'27-28'!I118</f>
        <v>0</v>
      </c>
      <c r="J118" s="225"/>
    </row>
    <row r="119" spans="1:16" x14ac:dyDescent="0.3">
      <c r="A119" s="67"/>
      <c r="B119" s="71" t="s">
        <v>38</v>
      </c>
      <c r="C119" s="156">
        <f>'21-22'!I119</f>
        <v>0</v>
      </c>
      <c r="D119" s="156">
        <f>'22-23'!J119</f>
        <v>0</v>
      </c>
      <c r="E119" s="156">
        <f>'23-24'!J119</f>
        <v>0</v>
      </c>
      <c r="F119" s="156">
        <f>'24-25'!I119</f>
        <v>0</v>
      </c>
      <c r="G119" s="156">
        <f>'25-26'!I119</f>
        <v>0</v>
      </c>
      <c r="H119" s="156">
        <f>'26-27'!I119</f>
        <v>0</v>
      </c>
      <c r="I119" s="156">
        <f>'27-28'!I119</f>
        <v>0</v>
      </c>
      <c r="J119" s="225"/>
    </row>
    <row r="120" spans="1:16" x14ac:dyDescent="0.3">
      <c r="A120" s="67"/>
      <c r="B120" s="71" t="s">
        <v>39</v>
      </c>
      <c r="C120" s="156">
        <f>'21-22'!I120</f>
        <v>0</v>
      </c>
      <c r="D120" s="156">
        <f>'22-23'!J120</f>
        <v>0</v>
      </c>
      <c r="E120" s="156">
        <f>'23-24'!J120</f>
        <v>0</v>
      </c>
      <c r="F120" s="156">
        <f>'24-25'!I120</f>
        <v>0</v>
      </c>
      <c r="G120" s="156">
        <f>'25-26'!I120</f>
        <v>0</v>
      </c>
      <c r="H120" s="156">
        <f>'26-27'!I120</f>
        <v>0</v>
      </c>
      <c r="I120" s="156">
        <f>'27-28'!I120</f>
        <v>0</v>
      </c>
      <c r="J120" s="225"/>
    </row>
    <row r="121" spans="1:16" x14ac:dyDescent="0.3">
      <c r="A121" s="67"/>
      <c r="B121" s="71" t="s">
        <v>40</v>
      </c>
      <c r="C121" s="156">
        <f>'21-22'!I121</f>
        <v>0</v>
      </c>
      <c r="D121" s="156">
        <f>'22-23'!J121</f>
        <v>0</v>
      </c>
      <c r="E121" s="156">
        <f>'23-24'!J121</f>
        <v>0</v>
      </c>
      <c r="F121" s="156">
        <f>'24-25'!I121</f>
        <v>0</v>
      </c>
      <c r="G121" s="156">
        <f>'25-26'!I121</f>
        <v>0</v>
      </c>
      <c r="H121" s="156">
        <f>'26-27'!I121</f>
        <v>0</v>
      </c>
      <c r="I121" s="156">
        <f>'27-28'!I121</f>
        <v>0</v>
      </c>
      <c r="J121" s="225"/>
    </row>
    <row r="122" spans="1:16" x14ac:dyDescent="0.3">
      <c r="A122" s="67"/>
      <c r="B122" s="71" t="s">
        <v>68</v>
      </c>
      <c r="C122" s="156">
        <f>'21-22'!I122</f>
        <v>0</v>
      </c>
      <c r="D122" s="156">
        <f>'22-23'!J122</f>
        <v>0</v>
      </c>
      <c r="E122" s="156">
        <f>'23-24'!J122</f>
        <v>0</v>
      </c>
      <c r="F122" s="156">
        <f>'24-25'!I122</f>
        <v>0</v>
      </c>
      <c r="G122" s="156">
        <f>'25-26'!I122</f>
        <v>0</v>
      </c>
      <c r="H122" s="156">
        <f>'26-27'!I122</f>
        <v>0</v>
      </c>
      <c r="I122" s="156">
        <f>'27-28'!I122</f>
        <v>0</v>
      </c>
      <c r="J122" s="225"/>
    </row>
    <row r="123" spans="1:16" x14ac:dyDescent="0.3">
      <c r="A123" s="67"/>
      <c r="B123" s="410" t="s">
        <v>173</v>
      </c>
      <c r="C123" s="156"/>
      <c r="D123" s="156">
        <f>'22-23'!J123</f>
        <v>0</v>
      </c>
      <c r="E123" s="156">
        <f>'23-24'!J123</f>
        <v>0</v>
      </c>
      <c r="F123" s="156">
        <f>'24-25'!I123</f>
        <v>0</v>
      </c>
      <c r="G123" s="156">
        <f>'25-26'!I123</f>
        <v>0</v>
      </c>
      <c r="H123" s="156">
        <f>'26-27'!I123</f>
        <v>0</v>
      </c>
      <c r="I123" s="156">
        <f>'27-28'!I123</f>
        <v>0</v>
      </c>
      <c r="J123" s="225"/>
    </row>
    <row r="124" spans="1:16" x14ac:dyDescent="0.3">
      <c r="A124" s="67"/>
      <c r="B124" s="71" t="s">
        <v>50</v>
      </c>
      <c r="C124" s="156">
        <f>'21-22'!I123</f>
        <v>0</v>
      </c>
      <c r="D124" s="156">
        <f>'22-23'!J123</f>
        <v>0</v>
      </c>
      <c r="E124" s="156">
        <f>'23-24'!J123</f>
        <v>0</v>
      </c>
      <c r="F124" s="156">
        <f>'24-25'!I123</f>
        <v>0</v>
      </c>
      <c r="G124" s="156">
        <f>'25-26'!I123</f>
        <v>0</v>
      </c>
      <c r="H124" s="156">
        <f>'26-27'!I123</f>
        <v>0</v>
      </c>
      <c r="I124" s="156">
        <f>'27-28'!I123</f>
        <v>0</v>
      </c>
      <c r="J124" s="225"/>
    </row>
    <row r="125" spans="1:16" x14ac:dyDescent="0.3">
      <c r="A125" s="67">
        <v>107</v>
      </c>
      <c r="B125" s="71" t="s">
        <v>69</v>
      </c>
      <c r="C125" s="156">
        <f>'21-22'!I125</f>
        <v>0</v>
      </c>
      <c r="D125" s="156">
        <f>'22-23'!J125</f>
        <v>20720</v>
      </c>
      <c r="E125" s="156">
        <f>'23-24'!J125</f>
        <v>21090</v>
      </c>
      <c r="F125" s="156">
        <f>'24-25'!I125</f>
        <v>21460</v>
      </c>
      <c r="G125" s="156">
        <f>'25-26'!I125</f>
        <v>21830</v>
      </c>
      <c r="H125" s="156">
        <f>'26-27'!I125</f>
        <v>22200</v>
      </c>
      <c r="I125" s="156">
        <f>'27-28'!I125</f>
        <v>22570</v>
      </c>
      <c r="J125" s="225" t="s">
        <v>382</v>
      </c>
    </row>
    <row r="126" spans="1:16" x14ac:dyDescent="0.3">
      <c r="A126" s="74"/>
      <c r="B126" s="71" t="s">
        <v>70</v>
      </c>
      <c r="C126" s="156">
        <f>'21-22'!I126</f>
        <v>0</v>
      </c>
      <c r="D126" s="156">
        <f>'22-23'!J126</f>
        <v>0</v>
      </c>
      <c r="E126" s="156">
        <f>'23-24'!J126</f>
        <v>0</v>
      </c>
      <c r="F126" s="156">
        <f>'24-25'!I126</f>
        <v>0</v>
      </c>
      <c r="G126" s="156">
        <f>'25-26'!I126</f>
        <v>0</v>
      </c>
      <c r="H126" s="156">
        <f>'26-27'!I126</f>
        <v>0</v>
      </c>
      <c r="I126" s="156">
        <f>'27-28'!I126</f>
        <v>0</v>
      </c>
      <c r="J126" s="225"/>
    </row>
    <row r="127" spans="1:16" x14ac:dyDescent="0.3">
      <c r="A127" s="63"/>
      <c r="B127" s="136" t="s">
        <v>66</v>
      </c>
      <c r="C127" s="160">
        <f t="shared" ref="C127:I127" si="34">SUM(C117:C126)</f>
        <v>0</v>
      </c>
      <c r="D127" s="160">
        <f t="shared" si="34"/>
        <v>20720</v>
      </c>
      <c r="E127" s="160">
        <f t="shared" si="34"/>
        <v>21090</v>
      </c>
      <c r="F127" s="160">
        <f t="shared" si="34"/>
        <v>21460</v>
      </c>
      <c r="G127" s="160">
        <f t="shared" si="34"/>
        <v>21830</v>
      </c>
      <c r="H127" s="160">
        <f t="shared" si="34"/>
        <v>22200</v>
      </c>
      <c r="I127" s="160">
        <f t="shared" si="34"/>
        <v>22570</v>
      </c>
      <c r="J127" s="236"/>
    </row>
    <row r="128" spans="1:16" ht="15" thickBot="1" x14ac:dyDescent="0.35">
      <c r="A128" s="91"/>
      <c r="B128" s="92" t="s">
        <v>71</v>
      </c>
      <c r="C128" s="161">
        <f t="shared" ref="C128:I128" si="35">SUM(C115:C126)</f>
        <v>165833</v>
      </c>
      <c r="D128" s="161">
        <f>SUM(D115:D126)</f>
        <v>569040</v>
      </c>
      <c r="E128" s="161">
        <f t="shared" si="35"/>
        <v>1096950</v>
      </c>
      <c r="F128" s="161">
        <f t="shared" si="35"/>
        <v>1575957.2</v>
      </c>
      <c r="G128" s="161">
        <f t="shared" si="35"/>
        <v>1967195.058</v>
      </c>
      <c r="H128" s="161">
        <f t="shared" si="35"/>
        <v>2114827.6218699999</v>
      </c>
      <c r="I128" s="161">
        <f t="shared" si="35"/>
        <v>2256854.0361980498</v>
      </c>
      <c r="J128" s="225"/>
      <c r="K128" s="223">
        <f t="shared" ref="K128:P128" si="36">SUM(K129:K130)</f>
        <v>0.47249999999999998</v>
      </c>
      <c r="L128" s="223">
        <f t="shared" si="36"/>
        <v>0.47749999999999998</v>
      </c>
      <c r="M128" s="223">
        <f t="shared" si="36"/>
        <v>0.48249999999999998</v>
      </c>
      <c r="N128" s="223">
        <f t="shared" si="36"/>
        <v>0.48749999999999999</v>
      </c>
      <c r="O128" s="223">
        <f t="shared" si="36"/>
        <v>0.49249999999999999</v>
      </c>
      <c r="P128" s="223">
        <f t="shared" si="36"/>
        <v>0.4975</v>
      </c>
    </row>
    <row r="129" spans="1:16" x14ac:dyDescent="0.3">
      <c r="A129" s="78">
        <v>230</v>
      </c>
      <c r="B129" s="71" t="s">
        <v>340</v>
      </c>
      <c r="C129" s="156">
        <f>'21-22'!I129</f>
        <v>0</v>
      </c>
      <c r="D129" s="156">
        <f>'22-23'!J129</f>
        <v>169289.40000000002</v>
      </c>
      <c r="E129" s="156">
        <f>'23-24'!J129</f>
        <v>326342.625</v>
      </c>
      <c r="F129" s="156">
        <f>'24-25'!I129</f>
        <v>468847.26699999999</v>
      </c>
      <c r="G129" s="156">
        <f>'25-26'!I129</f>
        <v>585240.52975500003</v>
      </c>
      <c r="H129" s="156">
        <f>'26-27'!I129</f>
        <v>629161.21750632499</v>
      </c>
      <c r="I129" s="156">
        <f>'27-28'!I129</f>
        <v>671414.07576891978</v>
      </c>
      <c r="J129" s="225"/>
      <c r="K129" s="223">
        <v>0.29249999999999998</v>
      </c>
      <c r="L129" s="223">
        <f>K129</f>
        <v>0.29249999999999998</v>
      </c>
      <c r="M129" s="223">
        <f>L129</f>
        <v>0.29249999999999998</v>
      </c>
      <c r="N129" s="223">
        <f>M129</f>
        <v>0.29249999999999998</v>
      </c>
      <c r="O129" s="223">
        <f>N129</f>
        <v>0.29249999999999998</v>
      </c>
      <c r="P129" s="223">
        <f>O129</f>
        <v>0.29249999999999998</v>
      </c>
    </row>
    <row r="130" spans="1:16" x14ac:dyDescent="0.3">
      <c r="A130" s="94"/>
      <c r="B130" s="71" t="s">
        <v>73</v>
      </c>
      <c r="C130" s="156">
        <f>'21-22'!I130</f>
        <v>35824.94</v>
      </c>
      <c r="D130" s="156">
        <f>'22-23'!J130</f>
        <v>95939.4</v>
      </c>
      <c r="E130" s="156">
        <f>'23-24'!J130</f>
        <v>193310.85</v>
      </c>
      <c r="F130" s="156">
        <f>'24-25'!I130</f>
        <v>293980.56800000003</v>
      </c>
      <c r="G130" s="156">
        <f>'25-26'!I130</f>
        <v>378050.48631000001</v>
      </c>
      <c r="H130" s="156">
        <f>'26-27'!I130</f>
        <v>422965.52437399997</v>
      </c>
      <c r="I130" s="156">
        <f>'27-28'!I130</f>
        <v>462655.07742060011</v>
      </c>
      <c r="J130" s="225"/>
      <c r="K130" s="223">
        <v>0.18</v>
      </c>
      <c r="L130" s="223">
        <f>K130+0.5%</f>
        <v>0.185</v>
      </c>
      <c r="M130" s="223">
        <f>L130+0.5%</f>
        <v>0.19</v>
      </c>
      <c r="N130" s="223">
        <f>M130+0.5%</f>
        <v>0.19500000000000001</v>
      </c>
      <c r="O130" s="223">
        <f>N130+0.5%</f>
        <v>0.2</v>
      </c>
      <c r="P130" s="223">
        <f>O130+0.5%</f>
        <v>0.20500000000000002</v>
      </c>
    </row>
    <row r="131" spans="1:16" x14ac:dyDescent="0.3">
      <c r="A131" s="67">
        <v>150</v>
      </c>
      <c r="B131" s="71" t="s">
        <v>74</v>
      </c>
      <c r="C131" s="156">
        <f>'21-22'!I131</f>
        <v>0</v>
      </c>
      <c r="D131" s="156">
        <f>'22-23'!J131</f>
        <v>2000</v>
      </c>
      <c r="E131" s="156">
        <f>'23-24'!J131</f>
        <v>37188.375</v>
      </c>
      <c r="F131" s="156">
        <f>'24-25'!I131</f>
        <v>45825.75</v>
      </c>
      <c r="G131" s="156">
        <f>'25-26'!I131</f>
        <v>53358.75</v>
      </c>
      <c r="H131" s="156">
        <f>'26-27'!I131</f>
        <v>55451.25</v>
      </c>
      <c r="I131" s="156">
        <f>'27-28'!I131</f>
        <v>57543.75</v>
      </c>
      <c r="J131" s="225"/>
    </row>
    <row r="132" spans="1:16" x14ac:dyDescent="0.3">
      <c r="A132" s="67"/>
      <c r="B132" s="71" t="s">
        <v>75</v>
      </c>
      <c r="C132" s="156">
        <f>'21-22'!I132</f>
        <v>31000</v>
      </c>
      <c r="D132" s="156">
        <f>'22-23'!J132</f>
        <v>0</v>
      </c>
      <c r="E132" s="156">
        <f>'23-24'!J132</f>
        <v>0</v>
      </c>
      <c r="F132" s="156">
        <f>'24-25'!I132</f>
        <v>0</v>
      </c>
      <c r="G132" s="156">
        <f>'25-26'!I132</f>
        <v>0</v>
      </c>
      <c r="H132" s="156">
        <f>'26-27'!I132</f>
        <v>0</v>
      </c>
      <c r="I132" s="156">
        <f>'27-28'!I132</f>
        <v>0</v>
      </c>
      <c r="J132" s="225"/>
    </row>
    <row r="133" spans="1:16" x14ac:dyDescent="0.3">
      <c r="A133" s="67">
        <v>250</v>
      </c>
      <c r="B133" s="71" t="s">
        <v>76</v>
      </c>
      <c r="C133" s="156">
        <f>'21-22'!I133</f>
        <v>0</v>
      </c>
      <c r="D133" s="156">
        <f>'22-23'!J133</f>
        <v>1200</v>
      </c>
      <c r="E133" s="156">
        <f>'23-24'!J133</f>
        <v>2100</v>
      </c>
      <c r="F133" s="156">
        <f>'24-25'!I133</f>
        <v>4500</v>
      </c>
      <c r="G133" s="156">
        <f>'25-26'!I133</f>
        <v>5400</v>
      </c>
      <c r="H133" s="156">
        <f>'26-27'!I133</f>
        <v>5850</v>
      </c>
      <c r="I133" s="156">
        <f>'27-28'!I133</f>
        <v>6300</v>
      </c>
      <c r="J133" s="225"/>
    </row>
    <row r="134" spans="1:16" ht="15" thickBot="1" x14ac:dyDescent="0.35">
      <c r="A134" s="74"/>
      <c r="B134" s="71" t="s">
        <v>77</v>
      </c>
      <c r="C134" s="156">
        <f>'21-22'!I134</f>
        <v>0</v>
      </c>
      <c r="D134" s="156">
        <f>'22-23'!J134</f>
        <v>8750</v>
      </c>
      <c r="E134" s="156">
        <f>'23-24'!J134</f>
        <v>21875</v>
      </c>
      <c r="F134" s="156">
        <f>'24-25'!I134</f>
        <v>35000</v>
      </c>
      <c r="G134" s="156">
        <f>'25-26'!I134</f>
        <v>42875</v>
      </c>
      <c r="H134" s="156">
        <f>'26-27'!I134</f>
        <v>46375</v>
      </c>
      <c r="I134" s="156">
        <f>'27-28'!I134</f>
        <v>49000</v>
      </c>
      <c r="J134" s="225"/>
    </row>
    <row r="135" spans="1:16" ht="15" thickBot="1" x14ac:dyDescent="0.35">
      <c r="A135" s="95"/>
      <c r="B135" s="522" t="s">
        <v>446</v>
      </c>
      <c r="C135" s="523">
        <f>SUM(C129:C134)</f>
        <v>66824.94</v>
      </c>
      <c r="D135" s="523">
        <f t="shared" ref="D135:I135" si="37">SUM(D129:D134)</f>
        <v>277178.80000000005</v>
      </c>
      <c r="E135" s="523">
        <f t="shared" si="37"/>
        <v>580816.85</v>
      </c>
      <c r="F135" s="523">
        <f t="shared" si="37"/>
        <v>848153.58499999996</v>
      </c>
      <c r="G135" s="523">
        <f t="shared" si="37"/>
        <v>1064924.7660650001</v>
      </c>
      <c r="H135" s="523">
        <f t="shared" si="37"/>
        <v>1159802.9918803249</v>
      </c>
      <c r="I135" s="523">
        <f t="shared" si="37"/>
        <v>1246912.9031895199</v>
      </c>
      <c r="J135" s="225"/>
    </row>
    <row r="136" spans="1:16" ht="15" thickBot="1" x14ac:dyDescent="0.35">
      <c r="A136" s="482"/>
      <c r="B136" s="524" t="s">
        <v>78</v>
      </c>
      <c r="C136" s="483">
        <f>C128+C135</f>
        <v>232657.94</v>
      </c>
      <c r="D136" s="483">
        <f t="shared" ref="D136:I136" si="38">D128+D135</f>
        <v>846218.8</v>
      </c>
      <c r="E136" s="483">
        <f t="shared" si="38"/>
        <v>1677766.85</v>
      </c>
      <c r="F136" s="483">
        <f t="shared" si="38"/>
        <v>2424110.7850000001</v>
      </c>
      <c r="G136" s="483">
        <f t="shared" si="38"/>
        <v>3032119.8240649998</v>
      </c>
      <c r="H136" s="483">
        <f t="shared" si="38"/>
        <v>3274630.6137503246</v>
      </c>
      <c r="I136" s="483">
        <f t="shared" si="38"/>
        <v>3503766.9393875697</v>
      </c>
      <c r="J136" s="225"/>
    </row>
    <row r="137" spans="1:16" x14ac:dyDescent="0.3">
      <c r="A137" s="98"/>
      <c r="B137" s="99" t="s">
        <v>79</v>
      </c>
      <c r="C137" s="150" t="str">
        <f t="shared" ref="C137:I137" si="39">C1</f>
        <v>21-22(Pre-Op)</v>
      </c>
      <c r="D137" s="150" t="str">
        <f t="shared" si="39"/>
        <v>22-23</v>
      </c>
      <c r="E137" s="150" t="str">
        <f t="shared" si="39"/>
        <v>23-24</v>
      </c>
      <c r="F137" s="150" t="str">
        <f t="shared" si="39"/>
        <v>24-25</v>
      </c>
      <c r="G137" s="150" t="str">
        <f t="shared" si="39"/>
        <v>25-26</v>
      </c>
      <c r="H137" s="150" t="str">
        <f t="shared" si="39"/>
        <v>26-27</v>
      </c>
      <c r="I137" s="150" t="str">
        <f t="shared" si="39"/>
        <v>27-28</v>
      </c>
      <c r="J137" s="230"/>
    </row>
    <row r="138" spans="1:16" x14ac:dyDescent="0.3">
      <c r="A138" s="94"/>
      <c r="B138" s="100" t="s">
        <v>80</v>
      </c>
      <c r="C138" s="156">
        <f>'21-22'!I138</f>
        <v>6000</v>
      </c>
      <c r="D138" s="156">
        <f>'22-23'!J138</f>
        <v>3850</v>
      </c>
      <c r="E138" s="156">
        <f>'23-24'!J138</f>
        <v>42000</v>
      </c>
      <c r="F138" s="156">
        <f>'24-25'!I138</f>
        <v>63000</v>
      </c>
      <c r="G138" s="156">
        <f>'25-26'!I138</f>
        <v>75600</v>
      </c>
      <c r="H138" s="156">
        <f>'26-27'!I138</f>
        <v>79800</v>
      </c>
      <c r="I138" s="156">
        <f>'27-28'!I138</f>
        <v>84000</v>
      </c>
      <c r="J138" s="225"/>
    </row>
    <row r="139" spans="1:16" hidden="1" x14ac:dyDescent="0.3">
      <c r="A139" s="94"/>
      <c r="B139" s="101" t="s">
        <v>435</v>
      </c>
      <c r="C139" s="156">
        <f>'21-22'!I139</f>
        <v>0</v>
      </c>
      <c r="D139" s="156">
        <f>'22-23'!J139</f>
        <v>0</v>
      </c>
      <c r="E139" s="156">
        <f>'23-24'!J139</f>
        <v>0</v>
      </c>
      <c r="F139" s="156">
        <f>'24-25'!I139</f>
        <v>0</v>
      </c>
      <c r="G139" s="156">
        <f>'25-26'!I139</f>
        <v>0</v>
      </c>
      <c r="H139" s="156">
        <f>'26-27'!I139</f>
        <v>0</v>
      </c>
      <c r="I139" s="156">
        <f>'27-28'!I139</f>
        <v>0</v>
      </c>
      <c r="J139" s="225"/>
    </row>
    <row r="140" spans="1:16" x14ac:dyDescent="0.3">
      <c r="A140" s="94"/>
      <c r="B140" s="410" t="s">
        <v>461</v>
      </c>
      <c r="C140" s="156">
        <f>'21-22'!I140</f>
        <v>0</v>
      </c>
      <c r="D140" s="156">
        <f>'22-23'!J140</f>
        <v>0</v>
      </c>
      <c r="E140" s="156">
        <f>'23-24'!J140</f>
        <v>0</v>
      </c>
      <c r="F140" s="156">
        <f>'24-25'!I140</f>
        <v>28000</v>
      </c>
      <c r="G140" s="156">
        <f>'25-26'!I140</f>
        <v>60000</v>
      </c>
      <c r="H140" s="156">
        <f>'26-27'!I140</f>
        <v>75000</v>
      </c>
      <c r="I140" s="156">
        <f>'27-28'!I140</f>
        <v>81000</v>
      </c>
      <c r="J140" s="225"/>
    </row>
    <row r="141" spans="1:16" x14ac:dyDescent="0.3">
      <c r="A141" s="94"/>
      <c r="B141" s="409" t="s">
        <v>437</v>
      </c>
      <c r="C141" s="156">
        <f>'21-22'!I141</f>
        <v>410416</v>
      </c>
      <c r="D141" s="156">
        <f>'22-23'!J141</f>
        <v>227471.61</v>
      </c>
      <c r="E141" s="156">
        <f>'23-24'!J141</f>
        <v>192227.20000000001</v>
      </c>
      <c r="F141" s="547">
        <f>'24-25'!I141</f>
        <v>0</v>
      </c>
      <c r="G141" s="547">
        <f>'25-26'!I141</f>
        <v>0</v>
      </c>
      <c r="H141" s="547">
        <f>'26-27'!I141</f>
        <v>0</v>
      </c>
      <c r="I141" s="547">
        <f>'27-28'!I141</f>
        <v>0</v>
      </c>
      <c r="J141" s="225"/>
    </row>
    <row r="142" spans="1:16" x14ac:dyDescent="0.3">
      <c r="A142" s="67">
        <v>610</v>
      </c>
      <c r="B142" s="71" t="s">
        <v>83</v>
      </c>
      <c r="C142" s="156">
        <f>'21-22'!I142</f>
        <v>4450</v>
      </c>
      <c r="D142" s="156">
        <f>'22-23'!J142</f>
        <v>8540</v>
      </c>
      <c r="E142" s="156">
        <f>'23-24'!J142</f>
        <v>6200</v>
      </c>
      <c r="F142" s="156">
        <f>'24-25'!I142</f>
        <v>9800</v>
      </c>
      <c r="G142" s="156">
        <f>'25-26'!I142</f>
        <v>13060</v>
      </c>
      <c r="H142" s="156">
        <f>'26-27'!I142</f>
        <v>9980</v>
      </c>
      <c r="I142" s="156">
        <f>'27-28'!I142</f>
        <v>10400</v>
      </c>
      <c r="J142" s="225"/>
    </row>
    <row r="143" spans="1:16" x14ac:dyDescent="0.3">
      <c r="A143" s="67">
        <v>610</v>
      </c>
      <c r="B143" s="71" t="s">
        <v>84</v>
      </c>
      <c r="C143" s="156">
        <f>'21-22'!I143</f>
        <v>10000</v>
      </c>
      <c r="D143" s="156">
        <f>'22-23'!J143</f>
        <v>3190</v>
      </c>
      <c r="E143" s="156">
        <f>'23-24'!J143</f>
        <v>17200</v>
      </c>
      <c r="F143" s="156">
        <f>'24-25'!I143</f>
        <v>33050</v>
      </c>
      <c r="G143" s="156">
        <f>'25-26'!I143</f>
        <v>34160</v>
      </c>
      <c r="H143" s="156">
        <f>'26-27'!I143</f>
        <v>35030</v>
      </c>
      <c r="I143" s="156">
        <f>'27-28'!I143</f>
        <v>35900</v>
      </c>
      <c r="J143" s="225"/>
    </row>
    <row r="144" spans="1:16" x14ac:dyDescent="0.3">
      <c r="A144" s="67">
        <v>610</v>
      </c>
      <c r="B144" s="71" t="s">
        <v>85</v>
      </c>
      <c r="C144" s="156">
        <f>'21-22'!I144</f>
        <v>2000</v>
      </c>
      <c r="D144" s="156">
        <f>'22-23'!J144</f>
        <v>467.5</v>
      </c>
      <c r="E144" s="156">
        <f>'23-24'!J144</f>
        <v>1275</v>
      </c>
      <c r="F144" s="156">
        <f>'24-25'!I144</f>
        <v>1912.5</v>
      </c>
      <c r="G144" s="156">
        <f>'25-26'!I144</f>
        <v>2295</v>
      </c>
      <c r="H144" s="156">
        <f>'26-27'!I144</f>
        <v>2422.5</v>
      </c>
      <c r="I144" s="156">
        <f>'27-28'!I144</f>
        <v>2550</v>
      </c>
      <c r="J144" s="225"/>
    </row>
    <row r="145" spans="1:18" x14ac:dyDescent="0.3">
      <c r="A145" s="67">
        <v>610</v>
      </c>
      <c r="B145" s="71" t="s">
        <v>86</v>
      </c>
      <c r="C145" s="156">
        <f>'21-22'!I145</f>
        <v>1500</v>
      </c>
      <c r="D145" s="156">
        <f>'22-23'!J145</f>
        <v>357.5</v>
      </c>
      <c r="E145" s="156">
        <f>'23-24'!J145</f>
        <v>975</v>
      </c>
      <c r="F145" s="156">
        <f>'24-25'!I145</f>
        <v>1462.5</v>
      </c>
      <c r="G145" s="156">
        <f>'25-26'!I145</f>
        <v>1755</v>
      </c>
      <c r="H145" s="156">
        <f>'26-27'!I145</f>
        <v>1852.5</v>
      </c>
      <c r="I145" s="156">
        <f>'27-28'!I145</f>
        <v>1950</v>
      </c>
      <c r="J145" s="225"/>
    </row>
    <row r="146" spans="1:18" x14ac:dyDescent="0.3">
      <c r="A146" s="67">
        <v>610</v>
      </c>
      <c r="B146" s="71" t="s">
        <v>87</v>
      </c>
      <c r="C146" s="156">
        <f>'21-22'!I146</f>
        <v>0</v>
      </c>
      <c r="D146" s="156">
        <f>'22-23'!J146</f>
        <v>1702.8</v>
      </c>
      <c r="E146" s="156">
        <f>'23-24'!J146</f>
        <v>4644</v>
      </c>
      <c r="F146" s="156">
        <f>'24-25'!I146</f>
        <v>6966</v>
      </c>
      <c r="G146" s="156">
        <f>'25-26'!I146</f>
        <v>8359.1999999999989</v>
      </c>
      <c r="H146" s="156">
        <f>'26-27'!I146</f>
        <v>8823.5999999999985</v>
      </c>
      <c r="I146" s="156">
        <f>'27-28'!I146</f>
        <v>9288</v>
      </c>
      <c r="J146" s="225"/>
    </row>
    <row r="147" spans="1:18" ht="15" thickBot="1" x14ac:dyDescent="0.35">
      <c r="A147" s="102"/>
      <c r="B147" s="71" t="s">
        <v>88</v>
      </c>
      <c r="C147" s="156">
        <f>'21-22'!I147</f>
        <v>0</v>
      </c>
      <c r="D147" s="156">
        <f>'22-23'!J147</f>
        <v>3889.49</v>
      </c>
      <c r="E147" s="156">
        <f>'23-24'!J147</f>
        <v>0</v>
      </c>
      <c r="F147" s="156">
        <f>'24-25'!I147</f>
        <v>0</v>
      </c>
      <c r="G147" s="156">
        <f>'25-26'!I147</f>
        <v>0</v>
      </c>
      <c r="H147" s="156">
        <f>'26-27'!I147</f>
        <v>0</v>
      </c>
      <c r="I147" s="156">
        <f>'27-28'!I147</f>
        <v>0</v>
      </c>
      <c r="J147" s="225"/>
    </row>
    <row r="148" spans="1:18" s="222" customFormat="1" ht="15" thickBot="1" x14ac:dyDescent="0.35">
      <c r="A148" s="103"/>
      <c r="B148" s="104" t="s">
        <v>89</v>
      </c>
      <c r="C148" s="105">
        <f t="shared" ref="C148:I148" si="40">SUM(C138:C147)</f>
        <v>434366</v>
      </c>
      <c r="D148" s="105">
        <f t="shared" si="40"/>
        <v>249468.89999999997</v>
      </c>
      <c r="E148" s="105">
        <f t="shared" si="40"/>
        <v>264521.2</v>
      </c>
      <c r="F148" s="105">
        <f t="shared" si="40"/>
        <v>144191</v>
      </c>
      <c r="G148" s="105">
        <f t="shared" si="40"/>
        <v>195229.2</v>
      </c>
      <c r="H148" s="105">
        <f t="shared" si="40"/>
        <v>212908.6</v>
      </c>
      <c r="I148" s="105">
        <f t="shared" si="40"/>
        <v>225088</v>
      </c>
      <c r="J148" s="237"/>
    </row>
    <row r="149" spans="1:18" s="222" customFormat="1" ht="15" thickBot="1" x14ac:dyDescent="0.35">
      <c r="A149" s="107"/>
      <c r="B149" s="108" t="s">
        <v>90</v>
      </c>
      <c r="C149" s="162"/>
      <c r="D149" s="162"/>
      <c r="E149" s="162"/>
      <c r="F149" s="162"/>
      <c r="G149" s="162"/>
      <c r="H149" s="162"/>
      <c r="I149" s="162"/>
      <c r="J149" s="237"/>
    </row>
    <row r="150" spans="1:18" s="222" customFormat="1" x14ac:dyDescent="0.3">
      <c r="A150" s="78">
        <v>320</v>
      </c>
      <c r="B150" s="71" t="s">
        <v>91</v>
      </c>
      <c r="C150" s="156">
        <f>'21-22'!I150</f>
        <v>0</v>
      </c>
      <c r="D150" s="156">
        <f>'22-23'!J150</f>
        <v>0</v>
      </c>
      <c r="E150" s="156">
        <f>'23-24'!J150</f>
        <v>12000</v>
      </c>
      <c r="F150" s="156">
        <f>'24-25'!I150</f>
        <v>12360</v>
      </c>
      <c r="G150" s="156">
        <f>'25-26'!I150</f>
        <v>12720</v>
      </c>
      <c r="H150" s="156">
        <f>'26-27'!I150</f>
        <v>13080.000000000002</v>
      </c>
      <c r="I150" s="156">
        <f>'27-28'!I150</f>
        <v>13440.000000000002</v>
      </c>
      <c r="J150" s="237"/>
      <c r="K150" s="219"/>
    </row>
    <row r="151" spans="1:18" x14ac:dyDescent="0.3">
      <c r="A151" s="67">
        <v>300</v>
      </c>
      <c r="B151" s="71" t="s">
        <v>92</v>
      </c>
      <c r="C151" s="156">
        <f>'21-22'!I151</f>
        <v>0</v>
      </c>
      <c r="D151" s="156">
        <f>'22-23'!J151</f>
        <v>22000</v>
      </c>
      <c r="E151" s="156">
        <f>'23-24'!J151</f>
        <v>67500</v>
      </c>
      <c r="F151" s="156">
        <f>'24-25'!I151</f>
        <v>105750</v>
      </c>
      <c r="G151" s="156">
        <f>'25-26'!I151</f>
        <v>140400</v>
      </c>
      <c r="H151" s="156">
        <f>'26-27'!I151</f>
        <v>156750</v>
      </c>
      <c r="I151" s="156">
        <f>'27-28'!I151</f>
        <v>171000</v>
      </c>
      <c r="J151" s="225"/>
    </row>
    <row r="152" spans="1:18" x14ac:dyDescent="0.3">
      <c r="A152" s="67">
        <v>310</v>
      </c>
      <c r="B152" s="71" t="s">
        <v>347</v>
      </c>
      <c r="C152" s="156">
        <f>'21-22'!I152</f>
        <v>0</v>
      </c>
      <c r="D152" s="156">
        <f>'22-23'!J152</f>
        <v>0</v>
      </c>
      <c r="E152" s="156">
        <f>'23-24'!J152</f>
        <v>0</v>
      </c>
      <c r="F152" s="156">
        <f>'24-25'!I152</f>
        <v>0</v>
      </c>
      <c r="G152" s="156">
        <f>'25-26'!I152</f>
        <v>0</v>
      </c>
      <c r="H152" s="156">
        <f>'26-27'!I152</f>
        <v>0</v>
      </c>
      <c r="I152" s="156">
        <f>'27-28'!I152</f>
        <v>0</v>
      </c>
      <c r="J152" s="225"/>
      <c r="K152" s="259">
        <f t="shared" ref="K152:P152" si="41">D152/D19</f>
        <v>0</v>
      </c>
      <c r="L152" s="259">
        <f t="shared" si="41"/>
        <v>0</v>
      </c>
      <c r="M152" s="259">
        <f t="shared" si="41"/>
        <v>0</v>
      </c>
      <c r="N152" s="259">
        <f t="shared" si="41"/>
        <v>0</v>
      </c>
      <c r="O152" s="259">
        <f t="shared" si="41"/>
        <v>0</v>
      </c>
      <c r="P152" s="259">
        <f t="shared" si="41"/>
        <v>0</v>
      </c>
    </row>
    <row r="153" spans="1:18" x14ac:dyDescent="0.3">
      <c r="A153" s="67">
        <v>310</v>
      </c>
      <c r="B153" s="71" t="s">
        <v>224</v>
      </c>
      <c r="C153" s="156">
        <f>'21-22'!I153</f>
        <v>0</v>
      </c>
      <c r="D153" s="156">
        <f>'22-23'!J153</f>
        <v>49500</v>
      </c>
      <c r="E153" s="156">
        <f>'23-24'!J153</f>
        <v>135000</v>
      </c>
      <c r="F153" s="156">
        <f>'24-25'!I153</f>
        <v>202500</v>
      </c>
      <c r="G153" s="156">
        <f>'25-26'!I153</f>
        <v>243000</v>
      </c>
      <c r="H153" s="156">
        <f>'26-27'!I153</f>
        <v>256500</v>
      </c>
      <c r="I153" s="156">
        <f>'27-28'!I153</f>
        <v>270000</v>
      </c>
      <c r="J153" s="225"/>
      <c r="K153" s="259">
        <f t="shared" ref="K153:P153" si="42">D153/D19</f>
        <v>450</v>
      </c>
      <c r="L153" s="259">
        <f t="shared" si="42"/>
        <v>450</v>
      </c>
      <c r="M153" s="259">
        <f t="shared" si="42"/>
        <v>450</v>
      </c>
      <c r="N153" s="259">
        <f t="shared" si="42"/>
        <v>450</v>
      </c>
      <c r="O153" s="259">
        <f t="shared" si="42"/>
        <v>450</v>
      </c>
      <c r="P153" s="259">
        <f t="shared" si="42"/>
        <v>450</v>
      </c>
      <c r="R153" s="365"/>
    </row>
    <row r="154" spans="1:18" x14ac:dyDescent="0.3">
      <c r="A154" s="67">
        <v>310</v>
      </c>
      <c r="B154" s="71" t="s">
        <v>93</v>
      </c>
      <c r="C154" s="156">
        <f>'21-22'!I154</f>
        <v>0</v>
      </c>
      <c r="D154" s="156">
        <f>'22-23'!J154</f>
        <v>3900</v>
      </c>
      <c r="E154" s="156">
        <f>'23-24'!J154</f>
        <v>6900</v>
      </c>
      <c r="F154" s="156">
        <f>'24-25'!I154</f>
        <v>9180</v>
      </c>
      <c r="G154" s="156">
        <f>'25-26'!I154</f>
        <v>11100</v>
      </c>
      <c r="H154" s="156">
        <f>'26-27'!I154</f>
        <v>11580</v>
      </c>
      <c r="I154" s="156">
        <f>'27-28'!I154</f>
        <v>12060</v>
      </c>
      <c r="J154" s="225"/>
      <c r="K154" s="167">
        <f t="shared" ref="K154:P154" si="43">SUM(D152:D153)/D73</f>
        <v>6.1701480012833904E-2</v>
      </c>
      <c r="L154" s="167">
        <f t="shared" si="43"/>
        <v>6.0909654504278293E-2</v>
      </c>
      <c r="M154" s="167">
        <f t="shared" si="43"/>
        <v>6.0127990626138501E-2</v>
      </c>
      <c r="N154" s="167">
        <f t="shared" si="43"/>
        <v>5.9356357972496054E-2</v>
      </c>
      <c r="O154" s="167">
        <f t="shared" si="43"/>
        <v>5.8594627810953662E-2</v>
      </c>
      <c r="P154" s="167">
        <f t="shared" si="43"/>
        <v>5.7842673061158603E-2</v>
      </c>
    </row>
    <row r="155" spans="1:18" x14ac:dyDescent="0.3">
      <c r="A155" s="67">
        <v>340</v>
      </c>
      <c r="B155" s="71" t="s">
        <v>94</v>
      </c>
      <c r="C155" s="156">
        <f>'21-22'!I155</f>
        <v>0</v>
      </c>
      <c r="D155" s="156">
        <f>'22-23'!J155</f>
        <v>0</v>
      </c>
      <c r="E155" s="156">
        <f>'23-24'!J155</f>
        <v>20000</v>
      </c>
      <c r="F155" s="156">
        <f>'24-25'!I155</f>
        <v>21000</v>
      </c>
      <c r="G155" s="156">
        <f>'25-26'!I155</f>
        <v>22050</v>
      </c>
      <c r="H155" s="156">
        <f>'26-27'!I155</f>
        <v>23152.5</v>
      </c>
      <c r="I155" s="156">
        <f>'27-28'!I155</f>
        <v>24310.125</v>
      </c>
      <c r="J155" s="225"/>
    </row>
    <row r="156" spans="1:18" x14ac:dyDescent="0.3">
      <c r="A156" s="67">
        <v>340</v>
      </c>
      <c r="B156" s="71" t="s">
        <v>95</v>
      </c>
      <c r="C156" s="156">
        <f>'21-22'!I156</f>
        <v>0</v>
      </c>
      <c r="D156" s="156">
        <f>'22-23'!J156</f>
        <v>1500</v>
      </c>
      <c r="E156" s="156">
        <f>'23-24'!J156</f>
        <v>5000</v>
      </c>
      <c r="F156" s="156">
        <f>'24-25'!I156</f>
        <v>5000</v>
      </c>
      <c r="G156" s="156">
        <f>'25-26'!I156</f>
        <v>5000</v>
      </c>
      <c r="H156" s="156">
        <f>'26-27'!I156</f>
        <v>5000</v>
      </c>
      <c r="I156" s="156">
        <f>'27-28'!I156</f>
        <v>5000</v>
      </c>
      <c r="J156" s="225"/>
    </row>
    <row r="157" spans="1:18" x14ac:dyDescent="0.3">
      <c r="A157" s="67">
        <v>352</v>
      </c>
      <c r="B157" s="71" t="s">
        <v>96</v>
      </c>
      <c r="C157" s="156">
        <f>'21-22'!I157</f>
        <v>0</v>
      </c>
      <c r="D157" s="156">
        <f>'22-23'!J157</f>
        <v>4950</v>
      </c>
      <c r="E157" s="156">
        <f>'23-24'!J157</f>
        <v>13500</v>
      </c>
      <c r="F157" s="156">
        <f>'24-25'!I157</f>
        <v>20250</v>
      </c>
      <c r="G157" s="156">
        <f>'25-26'!I157</f>
        <v>24300</v>
      </c>
      <c r="H157" s="156">
        <f>'26-27'!I157</f>
        <v>25650</v>
      </c>
      <c r="I157" s="156">
        <f>'27-28'!I157</f>
        <v>27000</v>
      </c>
      <c r="J157" s="225"/>
    </row>
    <row r="158" spans="1:18" x14ac:dyDescent="0.3">
      <c r="A158" s="67">
        <v>350</v>
      </c>
      <c r="B158" s="71" t="s">
        <v>97</v>
      </c>
      <c r="C158" s="156">
        <f>'21-22'!I158</f>
        <v>25935</v>
      </c>
      <c r="D158" s="156">
        <f>'22-23'!J158</f>
        <v>12700</v>
      </c>
      <c r="E158" s="156">
        <f>'23-24'!J158</f>
        <v>20884</v>
      </c>
      <c r="F158" s="156">
        <f>'24-25'!I158</f>
        <v>10000</v>
      </c>
      <c r="G158" s="156">
        <f>'25-26'!I158</f>
        <v>10000</v>
      </c>
      <c r="H158" s="156">
        <f>'26-27'!I158</f>
        <v>5000</v>
      </c>
      <c r="I158" s="156">
        <f>'27-28'!I158</f>
        <v>5000</v>
      </c>
      <c r="J158" s="225"/>
    </row>
    <row r="159" spans="1:18" x14ac:dyDescent="0.3">
      <c r="A159" s="67">
        <v>591</v>
      </c>
      <c r="B159" s="71" t="s">
        <v>98</v>
      </c>
      <c r="C159" s="156">
        <f>'21-22'!I159</f>
        <v>0</v>
      </c>
      <c r="D159" s="156">
        <f>'22-23'!J159</f>
        <v>10028.122500000001</v>
      </c>
      <c r="E159" s="156">
        <f>'23-24'!J159</f>
        <v>29495.815743499996</v>
      </c>
      <c r="F159" s="156">
        <f>'24-25'!I159</f>
        <v>46981.829659237497</v>
      </c>
      <c r="G159" s="156">
        <f>'25-26'!I159</f>
        <v>58500.159133791094</v>
      </c>
      <c r="H159" s="156">
        <f>'26-27'!I159</f>
        <v>63510.61694416526</v>
      </c>
      <c r="I159" s="156">
        <f>'27-28'!I159</f>
        <v>67627.775731313057</v>
      </c>
      <c r="J159" s="238"/>
    </row>
    <row r="160" spans="1:18" hidden="1" x14ac:dyDescent="0.3">
      <c r="A160" s="67">
        <v>320</v>
      </c>
      <c r="B160" s="71" t="s">
        <v>341</v>
      </c>
      <c r="C160" s="156">
        <f>'21-22'!I160</f>
        <v>0</v>
      </c>
      <c r="D160" s="156">
        <f>'22-23'!J160</f>
        <v>0</v>
      </c>
      <c r="E160" s="156">
        <f>'23-24'!J160</f>
        <v>0</v>
      </c>
      <c r="F160" s="156">
        <f>'24-25'!I160</f>
        <v>0</v>
      </c>
      <c r="G160" s="156">
        <f>'25-26'!I160</f>
        <v>0</v>
      </c>
      <c r="H160" s="156">
        <f>'26-27'!I160</f>
        <v>0</v>
      </c>
      <c r="I160" s="156">
        <f>'27-28'!I160</f>
        <v>0</v>
      </c>
      <c r="J160" s="238"/>
      <c r="K160" s="259"/>
      <c r="L160" s="259"/>
      <c r="M160" s="259"/>
      <c r="N160" s="259"/>
      <c r="O160" s="259"/>
      <c r="P160" s="259"/>
    </row>
    <row r="161" spans="1:16" hidden="1" x14ac:dyDescent="0.3">
      <c r="A161" s="67"/>
      <c r="B161" s="71"/>
      <c r="C161" s="156">
        <f>'21-22'!I161</f>
        <v>0</v>
      </c>
      <c r="D161" s="156"/>
      <c r="E161" s="156"/>
      <c r="F161" s="156"/>
      <c r="G161" s="156"/>
      <c r="H161" s="156"/>
      <c r="I161" s="156"/>
      <c r="J161" s="238"/>
      <c r="K161" s="259"/>
      <c r="L161" s="259"/>
      <c r="M161" s="259"/>
      <c r="N161" s="259"/>
      <c r="O161" s="259"/>
      <c r="P161" s="259"/>
    </row>
    <row r="162" spans="1:16" ht="15" thickBot="1" x14ac:dyDescent="0.35">
      <c r="A162" s="67">
        <v>330</v>
      </c>
      <c r="B162" s="71" t="s">
        <v>381</v>
      </c>
      <c r="C162" s="156">
        <f>'21-22'!I162</f>
        <v>12500</v>
      </c>
      <c r="D162" s="156">
        <f>'22-23'!J162</f>
        <v>28331.249</v>
      </c>
      <c r="E162" s="156">
        <f>'23-24'!J162</f>
        <v>20431.987009999997</v>
      </c>
      <c r="F162" s="156">
        <f>'24-25'!I162</f>
        <v>42339.079261694998</v>
      </c>
      <c r="G162" s="156">
        <f>'25-26'!I162</f>
        <v>58719.584750516442</v>
      </c>
      <c r="H162" s="156">
        <f>'26-27'!I162</f>
        <v>67787.672094066103</v>
      </c>
      <c r="I162" s="156">
        <f>'27-28'!I162</f>
        <v>71789.170348725223</v>
      </c>
      <c r="J162" s="238"/>
    </row>
    <row r="163" spans="1:16" ht="15" thickBot="1" x14ac:dyDescent="0.35">
      <c r="A163" s="103"/>
      <c r="B163" s="104" t="s">
        <v>101</v>
      </c>
      <c r="C163" s="105">
        <f t="shared" ref="C163:I163" si="44">SUM(C150:C162)</f>
        <v>38435</v>
      </c>
      <c r="D163" s="105">
        <f t="shared" si="44"/>
        <v>132909.37150000001</v>
      </c>
      <c r="E163" s="105">
        <f t="shared" si="44"/>
        <v>330711.8027535</v>
      </c>
      <c r="F163" s="105">
        <f t="shared" si="44"/>
        <v>475360.9089209325</v>
      </c>
      <c r="G163" s="105">
        <f t="shared" si="44"/>
        <v>585789.74388430757</v>
      </c>
      <c r="H163" s="105">
        <f t="shared" si="44"/>
        <v>628010.78903823136</v>
      </c>
      <c r="I163" s="105">
        <f t="shared" si="44"/>
        <v>667227.07108003832</v>
      </c>
      <c r="J163" s="225"/>
      <c r="K163" s="260"/>
      <c r="L163" s="260"/>
      <c r="M163" s="260"/>
      <c r="N163" s="260"/>
      <c r="O163" s="260"/>
      <c r="P163" s="260"/>
    </row>
    <row r="164" spans="1:16" ht="15" thickBot="1" x14ac:dyDescent="0.35">
      <c r="A164" s="107"/>
      <c r="B164" s="108" t="s">
        <v>102</v>
      </c>
      <c r="C164" s="150" t="str">
        <f t="shared" ref="C164:I164" si="45">C1</f>
        <v>21-22(Pre-Op)</v>
      </c>
      <c r="D164" s="150" t="str">
        <f t="shared" si="45"/>
        <v>22-23</v>
      </c>
      <c r="E164" s="150" t="str">
        <f t="shared" si="45"/>
        <v>23-24</v>
      </c>
      <c r="F164" s="150" t="str">
        <f t="shared" si="45"/>
        <v>24-25</v>
      </c>
      <c r="G164" s="150" t="str">
        <f t="shared" si="45"/>
        <v>25-26</v>
      </c>
      <c r="H164" s="150" t="str">
        <f t="shared" si="45"/>
        <v>26-27</v>
      </c>
      <c r="I164" s="150" t="str">
        <f t="shared" si="45"/>
        <v>27-28</v>
      </c>
      <c r="J164" s="230"/>
    </row>
    <row r="165" spans="1:16" x14ac:dyDescent="0.3">
      <c r="A165" s="67">
        <v>533</v>
      </c>
      <c r="B165" s="71" t="s">
        <v>103</v>
      </c>
      <c r="C165" s="156">
        <f>'21-22'!I165</f>
        <v>0</v>
      </c>
      <c r="D165" s="156">
        <f>'22-23'!J165</f>
        <v>6000</v>
      </c>
      <c r="E165" s="156">
        <f>'23-24'!J165</f>
        <v>6300</v>
      </c>
      <c r="F165" s="156">
        <f>'24-25'!I165</f>
        <v>6615</v>
      </c>
      <c r="G165" s="156">
        <f>'25-26'!I165</f>
        <v>6945.75</v>
      </c>
      <c r="H165" s="156">
        <f>'26-27'!I165</f>
        <v>7293.0375000000004</v>
      </c>
      <c r="I165" s="156">
        <f>'27-28'!I165</f>
        <v>7657.6893750000008</v>
      </c>
      <c r="J165" s="225"/>
    </row>
    <row r="166" spans="1:16" x14ac:dyDescent="0.3">
      <c r="A166" s="67">
        <v>535</v>
      </c>
      <c r="B166" s="71" t="s">
        <v>104</v>
      </c>
      <c r="C166" s="156">
        <f>'21-22'!I166</f>
        <v>1125</v>
      </c>
      <c r="D166" s="156">
        <f>'22-23'!J166</f>
        <v>7000</v>
      </c>
      <c r="E166" s="156">
        <f>'23-24'!J166</f>
        <v>7350</v>
      </c>
      <c r="F166" s="156">
        <f>'24-25'!I166</f>
        <v>7717.5</v>
      </c>
      <c r="G166" s="156">
        <f>'25-26'!I166</f>
        <v>8103.375</v>
      </c>
      <c r="H166" s="156">
        <f>'26-27'!I166</f>
        <v>8508.5437500000007</v>
      </c>
      <c r="I166" s="156">
        <f>'27-28'!I166</f>
        <v>8933.970937500002</v>
      </c>
      <c r="J166" s="225"/>
    </row>
    <row r="167" spans="1:16" x14ac:dyDescent="0.3">
      <c r="A167" s="67">
        <v>534</v>
      </c>
      <c r="B167" s="71" t="s">
        <v>105</v>
      </c>
      <c r="C167" s="156">
        <f>'21-22'!I167</f>
        <v>1500</v>
      </c>
      <c r="D167" s="156">
        <f>'22-23'!J167</f>
        <v>0</v>
      </c>
      <c r="E167" s="156">
        <f>'23-24'!J167</f>
        <v>0</v>
      </c>
      <c r="F167" s="156">
        <f>'24-25'!I167</f>
        <v>0</v>
      </c>
      <c r="G167" s="156">
        <f>'25-26'!I167</f>
        <v>0</v>
      </c>
      <c r="H167" s="156">
        <f>'26-27'!I167</f>
        <v>0</v>
      </c>
      <c r="I167" s="156">
        <f>'27-28'!I167</f>
        <v>0</v>
      </c>
      <c r="J167" s="225"/>
    </row>
    <row r="168" spans="1:16" x14ac:dyDescent="0.3">
      <c r="A168" s="67">
        <v>531</v>
      </c>
      <c r="B168" s="71" t="s">
        <v>106</v>
      </c>
      <c r="C168" s="156">
        <f>'21-22'!I168</f>
        <v>1500</v>
      </c>
      <c r="D168" s="156">
        <f>'22-23'!J168</f>
        <v>750</v>
      </c>
      <c r="E168" s="156">
        <f>'23-24'!J168</f>
        <v>1000</v>
      </c>
      <c r="F168" s="156">
        <f>'24-25'!I168</f>
        <v>1250</v>
      </c>
      <c r="G168" s="156">
        <f>'25-26'!I168</f>
        <v>1250</v>
      </c>
      <c r="H168" s="156">
        <f>'26-27'!I168</f>
        <v>1250</v>
      </c>
      <c r="I168" s="156">
        <f>'27-28'!I168</f>
        <v>1250</v>
      </c>
      <c r="J168" s="225"/>
    </row>
    <row r="169" spans="1:16" x14ac:dyDescent="0.3">
      <c r="A169" s="67">
        <v>535</v>
      </c>
      <c r="B169" s="71" t="s">
        <v>107</v>
      </c>
      <c r="C169" s="156">
        <f>'21-22'!I169</f>
        <v>5000</v>
      </c>
      <c r="D169" s="156">
        <f>'22-23'!J169</f>
        <v>0</v>
      </c>
      <c r="E169" s="156">
        <f>'23-24'!J169</f>
        <v>5100</v>
      </c>
      <c r="F169" s="156">
        <f>'24-25'!I169</f>
        <v>5202</v>
      </c>
      <c r="G169" s="156">
        <f>'25-26'!I169</f>
        <v>5306.04</v>
      </c>
      <c r="H169" s="156">
        <f>'26-27'!I169</f>
        <v>5412.1607999999997</v>
      </c>
      <c r="I169" s="156">
        <f>'27-28'!I169</f>
        <v>5520.4040159999995</v>
      </c>
      <c r="J169" s="225"/>
    </row>
    <row r="170" spans="1:16" x14ac:dyDescent="0.3">
      <c r="A170" s="67">
        <v>443</v>
      </c>
      <c r="B170" s="71" t="s">
        <v>108</v>
      </c>
      <c r="C170" s="156">
        <f>'21-22'!I170</f>
        <v>2000</v>
      </c>
      <c r="D170" s="156">
        <f>'22-23'!J170</f>
        <v>12000</v>
      </c>
      <c r="E170" s="156">
        <f>'23-24'!J170</f>
        <v>16000</v>
      </c>
      <c r="F170" s="156">
        <f>'24-25'!I170</f>
        <v>18000</v>
      </c>
      <c r="G170" s="156">
        <f>'25-26'!I170</f>
        <v>18900</v>
      </c>
      <c r="H170" s="156">
        <f>'26-27'!I170</f>
        <v>19845</v>
      </c>
      <c r="I170" s="156">
        <f>'27-28'!I170</f>
        <v>20837.25</v>
      </c>
      <c r="J170" s="225"/>
    </row>
    <row r="171" spans="1:16" ht="15" thickBot="1" x14ac:dyDescent="0.35">
      <c r="A171" s="67">
        <v>651</v>
      </c>
      <c r="B171" s="71" t="s">
        <v>109</v>
      </c>
      <c r="C171" s="156">
        <f>'21-22'!I171</f>
        <v>17986</v>
      </c>
      <c r="D171" s="156">
        <f>'22-23'!J171</f>
        <v>0</v>
      </c>
      <c r="E171" s="156">
        <f>'23-24'!J171</f>
        <v>3100</v>
      </c>
      <c r="F171" s="156">
        <f>'24-25'!I171</f>
        <v>3400</v>
      </c>
      <c r="G171" s="156">
        <f>'25-26'!I171</f>
        <v>3580</v>
      </c>
      <c r="H171" s="156">
        <f>'26-27'!I171</f>
        <v>3640</v>
      </c>
      <c r="I171" s="156">
        <f>'27-28'!I171</f>
        <v>3700</v>
      </c>
      <c r="J171" s="225"/>
    </row>
    <row r="172" spans="1:16" ht="15" thickBot="1" x14ac:dyDescent="0.35">
      <c r="A172" s="103"/>
      <c r="B172" s="104" t="s">
        <v>110</v>
      </c>
      <c r="C172" s="105">
        <f t="shared" ref="C172:I172" si="46">SUM(C165:C171)</f>
        <v>29111</v>
      </c>
      <c r="D172" s="105">
        <f t="shared" si="46"/>
        <v>25750</v>
      </c>
      <c r="E172" s="105">
        <f t="shared" si="46"/>
        <v>38850</v>
      </c>
      <c r="F172" s="105">
        <f t="shared" si="46"/>
        <v>42184.5</v>
      </c>
      <c r="G172" s="105">
        <f t="shared" si="46"/>
        <v>44085.165000000001</v>
      </c>
      <c r="H172" s="105">
        <f t="shared" si="46"/>
        <v>45948.742050000001</v>
      </c>
      <c r="I172" s="105">
        <f t="shared" si="46"/>
        <v>47899.314328500004</v>
      </c>
      <c r="J172" s="225"/>
    </row>
    <row r="173" spans="1:16" ht="15" thickBot="1" x14ac:dyDescent="0.35">
      <c r="A173" s="107"/>
      <c r="B173" s="108" t="s">
        <v>111</v>
      </c>
      <c r="C173" s="162"/>
      <c r="D173" s="162"/>
      <c r="E173" s="162"/>
      <c r="F173" s="162"/>
      <c r="G173" s="162"/>
      <c r="H173" s="162"/>
      <c r="I173" s="162"/>
      <c r="J173" s="225"/>
    </row>
    <row r="174" spans="1:16" x14ac:dyDescent="0.3">
      <c r="A174" s="67">
        <v>521</v>
      </c>
      <c r="B174" s="71" t="s">
        <v>410</v>
      </c>
      <c r="C174" s="156">
        <f>'21-22'!I174</f>
        <v>0</v>
      </c>
      <c r="D174" s="156">
        <f>'22-23'!J174</f>
        <v>7000</v>
      </c>
      <c r="E174" s="156">
        <f>'23-24'!J174</f>
        <v>7700.0000000000009</v>
      </c>
      <c r="F174" s="156">
        <f>'24-25'!I174</f>
        <v>8470.0000000000018</v>
      </c>
      <c r="G174" s="156">
        <f>'25-26'!I174</f>
        <v>9317.0000000000036</v>
      </c>
      <c r="H174" s="156">
        <f>'26-27'!I174</f>
        <v>10248.700000000004</v>
      </c>
      <c r="I174" s="156">
        <f>'27-28'!I174</f>
        <v>11273.570000000005</v>
      </c>
      <c r="J174" s="225"/>
    </row>
    <row r="175" spans="1:16" x14ac:dyDescent="0.3">
      <c r="A175" s="67">
        <v>522</v>
      </c>
      <c r="B175" s="71" t="s">
        <v>113</v>
      </c>
      <c r="C175" s="156">
        <f>'21-22'!I175</f>
        <v>0</v>
      </c>
      <c r="D175" s="156">
        <f>'22-23'!J175</f>
        <v>5000</v>
      </c>
      <c r="E175" s="156">
        <f>'23-24'!J175</f>
        <v>5500</v>
      </c>
      <c r="F175" s="156">
        <f>'24-25'!I175</f>
        <v>6050.0000000000009</v>
      </c>
      <c r="G175" s="156">
        <f>'25-26'!I175</f>
        <v>6655.0000000000018</v>
      </c>
      <c r="H175" s="156">
        <f>'26-27'!I175</f>
        <v>7320.5000000000027</v>
      </c>
      <c r="I175" s="156">
        <f>'27-28'!I175</f>
        <v>8052.5500000000038</v>
      </c>
      <c r="J175" s="225"/>
      <c r="K175" s="408"/>
    </row>
    <row r="176" spans="1:16" ht="15" thickBot="1" x14ac:dyDescent="0.35">
      <c r="A176" s="67">
        <v>523</v>
      </c>
      <c r="B176" s="71" t="s">
        <v>114</v>
      </c>
      <c r="C176" s="156">
        <f>'21-22'!I176</f>
        <v>0</v>
      </c>
      <c r="D176" s="156">
        <f>'22-23'!J176</f>
        <v>13500</v>
      </c>
      <c r="E176" s="156">
        <f>'23-24'!J176</f>
        <v>14850.000000000002</v>
      </c>
      <c r="F176" s="156">
        <f>'24-25'!I176</f>
        <v>16335.000000000004</v>
      </c>
      <c r="G176" s="156">
        <f>'25-26'!I176</f>
        <v>17968.500000000004</v>
      </c>
      <c r="H176" s="156">
        <f>'26-27'!I176</f>
        <v>19765.350000000006</v>
      </c>
      <c r="I176" s="156">
        <f>'27-28'!I176</f>
        <v>21741.885000000009</v>
      </c>
      <c r="J176" s="225"/>
    </row>
    <row r="177" spans="1:16" ht="15" thickBot="1" x14ac:dyDescent="0.35">
      <c r="A177" s="103"/>
      <c r="B177" s="104" t="s">
        <v>115</v>
      </c>
      <c r="C177" s="105">
        <f t="shared" ref="C177:I177" si="47">SUM(C174:C176)</f>
        <v>0</v>
      </c>
      <c r="D177" s="105">
        <f t="shared" si="47"/>
        <v>25500</v>
      </c>
      <c r="E177" s="105">
        <f t="shared" si="47"/>
        <v>28050</v>
      </c>
      <c r="F177" s="105">
        <f t="shared" si="47"/>
        <v>30855.000000000007</v>
      </c>
      <c r="G177" s="105">
        <f t="shared" si="47"/>
        <v>33940.500000000007</v>
      </c>
      <c r="H177" s="105">
        <f t="shared" si="47"/>
        <v>37334.550000000017</v>
      </c>
      <c r="I177" s="105">
        <f t="shared" si="47"/>
        <v>41068.005000000019</v>
      </c>
      <c r="J177" s="225"/>
    </row>
    <row r="178" spans="1:16" ht="15" thickBot="1" x14ac:dyDescent="0.35">
      <c r="A178" s="107"/>
      <c r="B178" s="108" t="s">
        <v>116</v>
      </c>
      <c r="C178" s="162"/>
      <c r="D178" s="162"/>
      <c r="E178" s="162"/>
      <c r="F178" s="162"/>
      <c r="G178" s="162"/>
      <c r="H178" s="162"/>
      <c r="I178" s="162"/>
      <c r="J178" s="225"/>
    </row>
    <row r="179" spans="1:16" x14ac:dyDescent="0.3">
      <c r="A179" s="67">
        <v>570</v>
      </c>
      <c r="B179" s="71" t="s">
        <v>392</v>
      </c>
      <c r="C179" s="156">
        <f>'21-22'!I179</f>
        <v>5000</v>
      </c>
      <c r="D179" s="156">
        <f>'22-23'!J179</f>
        <v>97911</v>
      </c>
      <c r="E179" s="156">
        <f>'23-24'!J179</f>
        <v>267030</v>
      </c>
      <c r="F179" s="156">
        <f>'24-25'!I179</f>
        <v>400545</v>
      </c>
      <c r="G179" s="156">
        <f>'25-26'!I179</f>
        <v>480654</v>
      </c>
      <c r="H179" s="156">
        <f>'26-27'!I179</f>
        <v>507357</v>
      </c>
      <c r="I179" s="156">
        <f>'27-28'!I179</f>
        <v>534060</v>
      </c>
      <c r="J179" s="239" t="s">
        <v>391</v>
      </c>
    </row>
    <row r="180" spans="1:16" x14ac:dyDescent="0.3">
      <c r="A180" s="67">
        <v>540</v>
      </c>
      <c r="B180" s="71" t="s">
        <v>118</v>
      </c>
      <c r="C180" s="156">
        <f>'21-22'!I180</f>
        <v>44055</v>
      </c>
      <c r="D180" s="156">
        <f>'22-23'!J180</f>
        <v>5000</v>
      </c>
      <c r="E180" s="156">
        <f>'23-24'!J180</f>
        <v>5200</v>
      </c>
      <c r="F180" s="156">
        <f>'24-25'!I180</f>
        <v>5408</v>
      </c>
      <c r="G180" s="156">
        <f>'25-26'!I180</f>
        <v>5624.3200000000006</v>
      </c>
      <c r="H180" s="156">
        <f>'26-27'!I180</f>
        <v>5849.2928000000011</v>
      </c>
      <c r="I180" s="156">
        <f>'27-28'!I180</f>
        <v>6083.2645120000016</v>
      </c>
      <c r="J180" s="225"/>
    </row>
    <row r="181" spans="1:16" x14ac:dyDescent="0.3">
      <c r="A181" s="67">
        <v>580</v>
      </c>
      <c r="B181" s="71" t="s">
        <v>119</v>
      </c>
      <c r="C181" s="156">
        <f>'21-22'!I181</f>
        <v>35150</v>
      </c>
      <c r="D181" s="156">
        <f>'22-23'!J181</f>
        <v>2420</v>
      </c>
      <c r="E181" s="156">
        <f>'23-24'!J181</f>
        <v>5000</v>
      </c>
      <c r="F181" s="156">
        <f>'24-25'!I181</f>
        <v>5000</v>
      </c>
      <c r="G181" s="156">
        <f>'25-26'!I181</f>
        <v>5000</v>
      </c>
      <c r="H181" s="156">
        <f>'26-27'!I181</f>
        <v>5000</v>
      </c>
      <c r="I181" s="156">
        <f>'27-28'!I181</f>
        <v>5000</v>
      </c>
      <c r="J181" s="225"/>
    </row>
    <row r="182" spans="1:16" x14ac:dyDescent="0.3">
      <c r="A182" s="67">
        <v>340</v>
      </c>
      <c r="B182" s="71" t="s">
        <v>120</v>
      </c>
      <c r="C182" s="156">
        <f>'21-22'!I182</f>
        <v>0</v>
      </c>
      <c r="D182" s="156">
        <f>'22-23'!J182</f>
        <v>840</v>
      </c>
      <c r="E182" s="156">
        <f>'23-24'!J182</f>
        <v>1410</v>
      </c>
      <c r="F182" s="156">
        <f>'24-25'!I182</f>
        <v>600</v>
      </c>
      <c r="G182" s="156">
        <f>'25-26'!I182</f>
        <v>600</v>
      </c>
      <c r="H182" s="156">
        <f>'26-27'!I182</f>
        <v>600</v>
      </c>
      <c r="I182" s="156">
        <f>'27-28'!I182</f>
        <v>600</v>
      </c>
      <c r="J182" s="225"/>
    </row>
    <row r="183" spans="1:16" x14ac:dyDescent="0.3">
      <c r="A183" s="112">
        <v>810</v>
      </c>
      <c r="B183" s="71" t="s">
        <v>121</v>
      </c>
      <c r="C183" s="156">
        <f>'21-22'!I183</f>
        <v>0</v>
      </c>
      <c r="D183" s="156">
        <f>'22-23'!J183</f>
        <v>5500</v>
      </c>
      <c r="E183" s="156">
        <f>'23-24'!J183</f>
        <v>5500</v>
      </c>
      <c r="F183" s="156">
        <f>'24-25'!I183</f>
        <v>7500</v>
      </c>
      <c r="G183" s="156">
        <f>'25-26'!I183</f>
        <v>10000</v>
      </c>
      <c r="H183" s="156">
        <f>'26-27'!I183</f>
        <v>10250</v>
      </c>
      <c r="I183" s="156">
        <f>'27-28'!I183</f>
        <v>10500</v>
      </c>
      <c r="J183" s="225"/>
    </row>
    <row r="184" spans="1:16" hidden="1" x14ac:dyDescent="0.3">
      <c r="A184" s="94"/>
      <c r="B184" s="71" t="s">
        <v>122</v>
      </c>
      <c r="C184" s="156">
        <f>'21-22'!I184</f>
        <v>0</v>
      </c>
      <c r="D184" s="156">
        <f>'22-23'!J184</f>
        <v>0</v>
      </c>
      <c r="E184" s="156">
        <f>'23-24'!J184</f>
        <v>0</v>
      </c>
      <c r="F184" s="156">
        <f>'24-25'!I184</f>
        <v>0</v>
      </c>
      <c r="G184" s="156">
        <f>'25-26'!I184</f>
        <v>0</v>
      </c>
      <c r="H184" s="156">
        <f>'26-27'!I184</f>
        <v>0</v>
      </c>
      <c r="I184" s="156">
        <f>'27-28'!I184</f>
        <v>0</v>
      </c>
      <c r="J184" s="225"/>
    </row>
    <row r="185" spans="1:16" x14ac:dyDescent="0.3">
      <c r="A185" s="112"/>
      <c r="B185" s="71" t="s">
        <v>123</v>
      </c>
      <c r="C185" s="156">
        <f>'21-22'!I185</f>
        <v>10000</v>
      </c>
      <c r="D185" s="156">
        <f>'22-23'!J185</f>
        <v>0</v>
      </c>
      <c r="E185" s="156">
        <f>'23-24'!J185</f>
        <v>0</v>
      </c>
      <c r="F185" s="156">
        <f>'24-25'!I185</f>
        <v>0</v>
      </c>
      <c r="G185" s="156">
        <f>'25-26'!I185</f>
        <v>0</v>
      </c>
      <c r="H185" s="156">
        <f>'26-27'!I185</f>
        <v>0</v>
      </c>
      <c r="I185" s="156">
        <f>'27-28'!I185</f>
        <v>0</v>
      </c>
      <c r="J185" s="225"/>
    </row>
    <row r="186" spans="1:16" x14ac:dyDescent="0.3">
      <c r="A186" s="112"/>
      <c r="B186" s="71" t="s">
        <v>124</v>
      </c>
      <c r="C186" s="156">
        <f>'21-22'!I186</f>
        <v>0</v>
      </c>
      <c r="D186" s="156">
        <f>'22-23'!J186</f>
        <v>0</v>
      </c>
      <c r="E186" s="156">
        <f>'23-24'!J186</f>
        <v>0</v>
      </c>
      <c r="F186" s="156">
        <f>'24-25'!I186</f>
        <v>0</v>
      </c>
      <c r="G186" s="156">
        <f>'25-26'!I186</f>
        <v>0</v>
      </c>
      <c r="H186" s="156">
        <f>'26-27'!I186</f>
        <v>0</v>
      </c>
      <c r="I186" s="156">
        <f>'27-28'!I186</f>
        <v>0</v>
      </c>
      <c r="J186" s="225"/>
      <c r="K186" s="260">
        <v>60000</v>
      </c>
      <c r="L186" s="260">
        <f>SUM(D186:G186)</f>
        <v>0</v>
      </c>
      <c r="M186" s="261">
        <f>(L186-K186)/K186</f>
        <v>-1</v>
      </c>
    </row>
    <row r="187" spans="1:16" ht="15" thickBot="1" x14ac:dyDescent="0.35">
      <c r="A187" s="67">
        <v>900</v>
      </c>
      <c r="B187" s="71" t="s">
        <v>125</v>
      </c>
      <c r="C187" s="156">
        <f>'21-22'!I187</f>
        <v>3000</v>
      </c>
      <c r="D187" s="156">
        <f>'22-23'!J187</f>
        <v>1950</v>
      </c>
      <c r="E187" s="156">
        <f>'23-24'!J187</f>
        <v>1000</v>
      </c>
      <c r="F187" s="156">
        <f>'24-25'!I187</f>
        <v>1000</v>
      </c>
      <c r="G187" s="156">
        <f>'25-26'!I187</f>
        <v>1000</v>
      </c>
      <c r="H187" s="156">
        <f>'26-27'!I187</f>
        <v>1000</v>
      </c>
      <c r="I187" s="156">
        <f>'27-28'!I187</f>
        <v>1000</v>
      </c>
      <c r="J187" s="225"/>
    </row>
    <row r="188" spans="1:16" ht="15" thickBot="1" x14ac:dyDescent="0.35">
      <c r="A188" s="103"/>
      <c r="B188" s="104" t="s">
        <v>126</v>
      </c>
      <c r="C188" s="105">
        <f t="shared" ref="C188:I188" si="48">SUM(C179:C187)</f>
        <v>97205</v>
      </c>
      <c r="D188" s="105">
        <f t="shared" si="48"/>
        <v>113621</v>
      </c>
      <c r="E188" s="105">
        <f t="shared" si="48"/>
        <v>285140</v>
      </c>
      <c r="F188" s="105">
        <f t="shared" si="48"/>
        <v>420053</v>
      </c>
      <c r="G188" s="105">
        <f t="shared" si="48"/>
        <v>502878.32</v>
      </c>
      <c r="H188" s="105">
        <f t="shared" si="48"/>
        <v>530056.29279999994</v>
      </c>
      <c r="I188" s="105">
        <f t="shared" si="48"/>
        <v>557243.26451200002</v>
      </c>
      <c r="J188" s="225"/>
    </row>
    <row r="189" spans="1:16" ht="15" thickBot="1" x14ac:dyDescent="0.35">
      <c r="A189" s="107"/>
      <c r="B189" s="108" t="s">
        <v>127</v>
      </c>
      <c r="C189" s="150" t="str">
        <f t="shared" ref="C189:I189" si="49">C1</f>
        <v>21-22(Pre-Op)</v>
      </c>
      <c r="D189" s="150" t="str">
        <f t="shared" si="49"/>
        <v>22-23</v>
      </c>
      <c r="E189" s="150" t="str">
        <f t="shared" si="49"/>
        <v>23-24</v>
      </c>
      <c r="F189" s="150" t="str">
        <f t="shared" si="49"/>
        <v>24-25</v>
      </c>
      <c r="G189" s="150" t="str">
        <f t="shared" si="49"/>
        <v>25-26</v>
      </c>
      <c r="H189" s="150" t="str">
        <f t="shared" si="49"/>
        <v>26-27</v>
      </c>
      <c r="I189" s="150" t="str">
        <f t="shared" si="49"/>
        <v>27-28</v>
      </c>
      <c r="J189" s="230"/>
    </row>
    <row r="190" spans="1:16" x14ac:dyDescent="0.3">
      <c r="A190" s="78">
        <v>622</v>
      </c>
      <c r="B190" s="71" t="s">
        <v>325</v>
      </c>
      <c r="C190" s="156">
        <f>'21-22'!I190</f>
        <v>0</v>
      </c>
      <c r="D190" s="156">
        <f>'22-23'!J190</f>
        <v>30000</v>
      </c>
      <c r="E190" s="156">
        <f>'23-24'!J190</f>
        <v>31800</v>
      </c>
      <c r="F190" s="156">
        <f>'24-25'!I190</f>
        <v>39750</v>
      </c>
      <c r="G190" s="156">
        <f>'25-26'!I190</f>
        <v>49687.5</v>
      </c>
      <c r="H190" s="156">
        <f>'26-27'!I190</f>
        <v>52966.875</v>
      </c>
      <c r="I190" s="156">
        <f>'27-28'!I190</f>
        <v>56144.887500000004</v>
      </c>
      <c r="J190" s="225"/>
      <c r="K190" s="219" t="s">
        <v>345</v>
      </c>
      <c r="L190" s="219" t="s">
        <v>346</v>
      </c>
    </row>
    <row r="191" spans="1:16" x14ac:dyDescent="0.3">
      <c r="A191" s="67">
        <v>621</v>
      </c>
      <c r="B191" s="71" t="s">
        <v>129</v>
      </c>
      <c r="C191" s="156">
        <f>'21-22'!I191</f>
        <v>0</v>
      </c>
      <c r="D191" s="156">
        <f>'22-23'!J191</f>
        <v>0</v>
      </c>
      <c r="E191" s="156">
        <f>'23-24'!J191</f>
        <v>0</v>
      </c>
      <c r="F191" s="156">
        <f>'24-25'!I191</f>
        <v>0</v>
      </c>
      <c r="G191" s="156">
        <f>'25-26'!I191</f>
        <v>0</v>
      </c>
      <c r="H191" s="156">
        <f>'26-27'!I191</f>
        <v>0</v>
      </c>
      <c r="I191" s="156">
        <f>'27-28'!I191</f>
        <v>0</v>
      </c>
      <c r="J191" s="225"/>
      <c r="K191" s="260">
        <f>SUM(D190:D193)</f>
        <v>47500</v>
      </c>
      <c r="L191" s="260">
        <f t="shared" ref="L191:P191" si="50">SUM(E190:E193)</f>
        <v>50350</v>
      </c>
      <c r="M191" s="260">
        <f t="shared" si="50"/>
        <v>59413</v>
      </c>
      <c r="N191" s="260">
        <f t="shared" si="50"/>
        <v>74266.25</v>
      </c>
      <c r="O191" s="260">
        <f t="shared" si="50"/>
        <v>79167.822500000009</v>
      </c>
      <c r="P191" s="260">
        <f t="shared" si="50"/>
        <v>83917.891850000015</v>
      </c>
    </row>
    <row r="192" spans="1:16" x14ac:dyDescent="0.3">
      <c r="A192" s="67">
        <v>411</v>
      </c>
      <c r="B192" s="71" t="s">
        <v>130</v>
      </c>
      <c r="C192" s="156">
        <f>'21-22'!I192</f>
        <v>0</v>
      </c>
      <c r="D192" s="156">
        <f>'22-23'!J192</f>
        <v>10000</v>
      </c>
      <c r="E192" s="156">
        <f>'23-24'!J192</f>
        <v>10600</v>
      </c>
      <c r="F192" s="156">
        <f>'24-25'!I192</f>
        <v>11236</v>
      </c>
      <c r="G192" s="156">
        <f>'25-26'!I192</f>
        <v>14045</v>
      </c>
      <c r="H192" s="156">
        <f>'26-27'!I192</f>
        <v>14971.970000000001</v>
      </c>
      <c r="I192" s="156">
        <f>'27-28'!I192</f>
        <v>15870.288200000003</v>
      </c>
      <c r="J192" s="225"/>
    </row>
    <row r="193" spans="1:16" x14ac:dyDescent="0.3">
      <c r="A193" s="67">
        <v>422</v>
      </c>
      <c r="B193" s="71" t="s">
        <v>131</v>
      </c>
      <c r="C193" s="156">
        <f>'21-22'!I193</f>
        <v>0</v>
      </c>
      <c r="D193" s="156">
        <f>'22-23'!J193</f>
        <v>7500</v>
      </c>
      <c r="E193" s="156">
        <f>'23-24'!J193</f>
        <v>7950</v>
      </c>
      <c r="F193" s="156">
        <f>'24-25'!I193</f>
        <v>8427</v>
      </c>
      <c r="G193" s="156">
        <f>'25-26'!I193</f>
        <v>10533.75</v>
      </c>
      <c r="H193" s="156">
        <f>'26-27'!I193</f>
        <v>11228.977500000001</v>
      </c>
      <c r="I193" s="156">
        <f>'27-28'!I193</f>
        <v>11902.716150000002</v>
      </c>
      <c r="J193" s="225"/>
    </row>
    <row r="194" spans="1:16" x14ac:dyDescent="0.3">
      <c r="A194" s="67">
        <v>490</v>
      </c>
      <c r="B194" s="71" t="s">
        <v>132</v>
      </c>
      <c r="C194" s="156">
        <f>'21-22'!I194</f>
        <v>0</v>
      </c>
      <c r="D194" s="156">
        <f>'22-23'!J194</f>
        <v>5000</v>
      </c>
      <c r="E194" s="156">
        <f>'23-24'!J194</f>
        <v>5150</v>
      </c>
      <c r="F194" s="156">
        <f>'24-25'!I194</f>
        <v>5304.5</v>
      </c>
      <c r="G194" s="156">
        <f>'25-26'!I194</f>
        <v>5463.6350000000002</v>
      </c>
      <c r="H194" s="156">
        <f>'26-27'!I194</f>
        <v>5627.5440500000004</v>
      </c>
      <c r="I194" s="156">
        <f>'27-28'!I194</f>
        <v>5796.3703715000001</v>
      </c>
      <c r="J194" s="225"/>
    </row>
    <row r="195" spans="1:16" x14ac:dyDescent="0.3">
      <c r="A195" s="67">
        <v>422</v>
      </c>
      <c r="B195" s="71" t="s">
        <v>133</v>
      </c>
      <c r="C195" s="156">
        <f>'21-22'!I195</f>
        <v>0</v>
      </c>
      <c r="D195" s="156">
        <f>'22-23'!J195</f>
        <v>41580.000000000015</v>
      </c>
      <c r="E195" s="156">
        <f>'23-24'!J195</f>
        <v>56700</v>
      </c>
      <c r="F195" s="156">
        <f>'24-25'!I195</f>
        <v>78300</v>
      </c>
      <c r="G195" s="156">
        <f>'25-26'!I195</f>
        <v>79650</v>
      </c>
      <c r="H195" s="156">
        <f>'26-27'!I195</f>
        <v>81000</v>
      </c>
      <c r="I195" s="156">
        <f>'27-28'!I195</f>
        <v>81000</v>
      </c>
      <c r="J195" s="237"/>
    </row>
    <row r="196" spans="1:16" x14ac:dyDescent="0.3">
      <c r="A196" s="67">
        <v>610</v>
      </c>
      <c r="B196" s="71" t="s">
        <v>134</v>
      </c>
      <c r="C196" s="156">
        <f>'21-22'!I196</f>
        <v>0</v>
      </c>
      <c r="D196" s="156">
        <f>'22-23'!J196</f>
        <v>3520</v>
      </c>
      <c r="E196" s="156">
        <f>'23-24'!J196</f>
        <v>9600</v>
      </c>
      <c r="F196" s="156">
        <f>'24-25'!I196</f>
        <v>14400</v>
      </c>
      <c r="G196" s="156">
        <f>'25-26'!I196</f>
        <v>17280</v>
      </c>
      <c r="H196" s="156">
        <f>'26-27'!I196</f>
        <v>18240</v>
      </c>
      <c r="I196" s="156">
        <f>'27-28'!I196</f>
        <v>19200</v>
      </c>
      <c r="J196" s="237"/>
    </row>
    <row r="197" spans="1:16" x14ac:dyDescent="0.3">
      <c r="A197" s="67" t="s">
        <v>135</v>
      </c>
      <c r="B197" s="71" t="s">
        <v>136</v>
      </c>
      <c r="C197" s="156">
        <f>'21-22'!I197</f>
        <v>0</v>
      </c>
      <c r="D197" s="156">
        <f>'22-23'!J197</f>
        <v>8500</v>
      </c>
      <c r="E197" s="156">
        <f>'23-24'!J197</f>
        <v>10000</v>
      </c>
      <c r="F197" s="156">
        <f>'24-25'!I197</f>
        <v>10000</v>
      </c>
      <c r="G197" s="156">
        <f>'25-26'!I197</f>
        <v>12500</v>
      </c>
      <c r="H197" s="156">
        <f>'26-27'!I197</f>
        <v>15000</v>
      </c>
      <c r="I197" s="156">
        <f>'27-28'!I197</f>
        <v>15000</v>
      </c>
      <c r="J197" s="237"/>
      <c r="K197" s="260">
        <f>SUM(D197:D200)</f>
        <v>22000</v>
      </c>
      <c r="L197" s="260">
        <f t="shared" ref="L197:P197" si="51">SUM(E197:E200)</f>
        <v>23905</v>
      </c>
      <c r="M197" s="260">
        <f t="shared" si="51"/>
        <v>24322.15</v>
      </c>
      <c r="N197" s="260">
        <f t="shared" si="51"/>
        <v>27251.8145</v>
      </c>
      <c r="O197" s="260">
        <f t="shared" si="51"/>
        <v>30194.368935000002</v>
      </c>
      <c r="P197" s="260">
        <f t="shared" si="51"/>
        <v>30650.200003049998</v>
      </c>
    </row>
    <row r="198" spans="1:16" hidden="1" x14ac:dyDescent="0.3">
      <c r="A198" s="113"/>
      <c r="B198" s="71" t="s">
        <v>137</v>
      </c>
      <c r="C198" s="156">
        <f>'21-22'!I198</f>
        <v>0</v>
      </c>
      <c r="D198" s="156">
        <f>'22-23'!J198</f>
        <v>0</v>
      </c>
      <c r="E198" s="156">
        <f>'23-24'!J198</f>
        <v>0</v>
      </c>
      <c r="F198" s="156">
        <f>'24-25'!I198</f>
        <v>0</v>
      </c>
      <c r="G198" s="156">
        <f>'25-26'!I198</f>
        <v>0</v>
      </c>
      <c r="H198" s="156">
        <f>'26-27'!I198</f>
        <v>0</v>
      </c>
      <c r="I198" s="156">
        <f>'27-28'!I198</f>
        <v>0</v>
      </c>
      <c r="J198" s="237"/>
    </row>
    <row r="199" spans="1:16" x14ac:dyDescent="0.3">
      <c r="A199" s="67">
        <v>420</v>
      </c>
      <c r="B199" s="71" t="s">
        <v>138</v>
      </c>
      <c r="C199" s="156">
        <f>'21-22'!I199</f>
        <v>0</v>
      </c>
      <c r="D199" s="156">
        <f>'22-23'!J199</f>
        <v>6000</v>
      </c>
      <c r="E199" s="156">
        <f>'23-24'!J199</f>
        <v>6180</v>
      </c>
      <c r="F199" s="156">
        <f>'24-25'!I199</f>
        <v>6365.4000000000005</v>
      </c>
      <c r="G199" s="156">
        <f>'25-26'!I199</f>
        <v>6556.362000000001</v>
      </c>
      <c r="H199" s="156">
        <f>'26-27'!I199</f>
        <v>6753.0528600000016</v>
      </c>
      <c r="I199" s="156">
        <f>'27-28'!I199</f>
        <v>6955.6444458000014</v>
      </c>
      <c r="J199" s="225"/>
    </row>
    <row r="200" spans="1:16" ht="15" thickBot="1" x14ac:dyDescent="0.35">
      <c r="A200" s="74">
        <v>431</v>
      </c>
      <c r="B200" s="71" t="s">
        <v>139</v>
      </c>
      <c r="C200" s="156">
        <f>'21-22'!I200</f>
        <v>0</v>
      </c>
      <c r="D200" s="156">
        <f>'22-23'!J200</f>
        <v>7500</v>
      </c>
      <c r="E200" s="156">
        <f>'23-24'!J200</f>
        <v>7725</v>
      </c>
      <c r="F200" s="156">
        <f>'24-25'!I200</f>
        <v>7956.75</v>
      </c>
      <c r="G200" s="156">
        <f>'25-26'!I200</f>
        <v>8195.4524999999994</v>
      </c>
      <c r="H200" s="156">
        <f>'26-27'!I200</f>
        <v>8441.3160749999988</v>
      </c>
      <c r="I200" s="156">
        <f>'27-28'!I200</f>
        <v>8694.5555572499998</v>
      </c>
      <c r="J200" s="225"/>
    </row>
    <row r="201" spans="1:16" ht="15" thickBot="1" x14ac:dyDescent="0.35">
      <c r="A201" s="95"/>
      <c r="B201" s="96" t="s">
        <v>411</v>
      </c>
      <c r="C201" s="105">
        <f t="shared" ref="C201:I201" si="52">SUM(C190:C200)</f>
        <v>0</v>
      </c>
      <c r="D201" s="105">
        <f t="shared" si="52"/>
        <v>119600.00000000001</v>
      </c>
      <c r="E201" s="105">
        <f t="shared" si="52"/>
        <v>145705</v>
      </c>
      <c r="F201" s="105">
        <f t="shared" si="52"/>
        <v>181739.65</v>
      </c>
      <c r="G201" s="105">
        <f t="shared" si="52"/>
        <v>203911.69949999999</v>
      </c>
      <c r="H201" s="105">
        <f t="shared" si="52"/>
        <v>214229.73548500001</v>
      </c>
      <c r="I201" s="105">
        <f t="shared" si="52"/>
        <v>220564.46222454999</v>
      </c>
      <c r="J201" s="225"/>
    </row>
    <row r="202" spans="1:16" ht="15" thickBot="1" x14ac:dyDescent="0.35">
      <c r="A202" s="114"/>
      <c r="B202" s="115"/>
      <c r="C202" s="154"/>
      <c r="D202" s="154"/>
      <c r="E202" s="154"/>
      <c r="F202" s="154"/>
      <c r="G202" s="154"/>
      <c r="H202" s="154"/>
      <c r="I202" s="154"/>
      <c r="J202" s="225"/>
    </row>
    <row r="203" spans="1:16" ht="15" thickBot="1" x14ac:dyDescent="0.35">
      <c r="A203" s="116"/>
      <c r="B203" s="117" t="s">
        <v>141</v>
      </c>
      <c r="C203" s="77">
        <f>C201+C188+C177+C172+C163+C148+C136</f>
        <v>831774.94</v>
      </c>
      <c r="D203" s="77">
        <f>D201+D188+D177+D172+D163+D148+D136</f>
        <v>1513068.0715000001</v>
      </c>
      <c r="E203" s="77">
        <f t="shared" ref="E203:I203" si="53">E201+E188+E177+E172+E163+E148+E136</f>
        <v>2770744.8527535</v>
      </c>
      <c r="F203" s="77">
        <f t="shared" si="53"/>
        <v>3718494.8439209326</v>
      </c>
      <c r="G203" s="77">
        <f t="shared" si="53"/>
        <v>4597954.4524493068</v>
      </c>
      <c r="H203" s="77">
        <f t="shared" si="53"/>
        <v>4943119.3231235556</v>
      </c>
      <c r="I203" s="77">
        <f t="shared" si="53"/>
        <v>5262857.0565326577</v>
      </c>
      <c r="J203" s="225"/>
      <c r="M203" s="221"/>
    </row>
    <row r="204" spans="1:16" x14ac:dyDescent="0.3">
      <c r="A204" s="78"/>
      <c r="B204" s="118"/>
      <c r="C204" s="157"/>
      <c r="D204" s="157"/>
      <c r="E204" s="157"/>
      <c r="F204" s="157"/>
      <c r="G204" s="157"/>
      <c r="H204" s="157"/>
      <c r="I204" s="157"/>
      <c r="J204" s="225"/>
    </row>
    <row r="205" spans="1:16" x14ac:dyDescent="0.3">
      <c r="A205" s="67"/>
      <c r="B205" s="533" t="s">
        <v>464</v>
      </c>
      <c r="C205" s="156">
        <f>'21-22'!I205</f>
        <v>0</v>
      </c>
      <c r="D205" s="156">
        <f>'22-23'!J205</f>
        <v>4583.333333333333</v>
      </c>
      <c r="E205" s="156">
        <f>'23-24'!J205</f>
        <v>0</v>
      </c>
      <c r="F205" s="156">
        <f>'24-25'!I205</f>
        <v>0</v>
      </c>
      <c r="G205" s="156">
        <f>'25-26'!I205</f>
        <v>0</v>
      </c>
      <c r="H205" s="156">
        <f>'26-27'!I205</f>
        <v>0</v>
      </c>
      <c r="I205" s="156">
        <f>'27-28'!I205</f>
        <v>0</v>
      </c>
      <c r="J205" s="225"/>
    </row>
    <row r="206" spans="1:16" x14ac:dyDescent="0.3">
      <c r="A206" s="67"/>
      <c r="B206" s="533" t="s">
        <v>142</v>
      </c>
      <c r="C206" s="156">
        <f>'21-22'!I206</f>
        <v>0</v>
      </c>
      <c r="D206" s="156">
        <f>'22-23'!J206</f>
        <v>50416.666666666664</v>
      </c>
      <c r="E206" s="156">
        <f>'23-24'!J206</f>
        <v>150000</v>
      </c>
      <c r="F206" s="156">
        <f>'24-25'!I206</f>
        <v>405000</v>
      </c>
      <c r="G206" s="156">
        <f>'25-26'!I206</f>
        <v>500580</v>
      </c>
      <c r="H206" s="156">
        <f>'26-27'!I206</f>
        <v>543780</v>
      </c>
      <c r="I206" s="156">
        <f>'27-28'!I206</f>
        <v>588600.00000000012</v>
      </c>
      <c r="J206" s="225" t="s">
        <v>462</v>
      </c>
      <c r="K206" s="268"/>
      <c r="L206" s="238"/>
      <c r="M206" s="238"/>
      <c r="N206" s="238"/>
      <c r="O206" s="238"/>
    </row>
    <row r="207" spans="1:16" x14ac:dyDescent="0.3">
      <c r="A207" s="67"/>
      <c r="B207" s="533" t="s">
        <v>143</v>
      </c>
      <c r="C207" s="156">
        <f>'21-22'!I207</f>
        <v>0</v>
      </c>
      <c r="D207" s="156">
        <f>'22-23'!J207</f>
        <v>0</v>
      </c>
      <c r="E207" s="156">
        <f>'23-24'!J207</f>
        <v>0</v>
      </c>
      <c r="F207" s="156">
        <f>'24-25'!I207</f>
        <v>0</v>
      </c>
      <c r="G207" s="156">
        <f>'25-26'!I207</f>
        <v>0</v>
      </c>
      <c r="H207" s="156">
        <f>'26-27'!I207</f>
        <v>0</v>
      </c>
      <c r="I207" s="156">
        <f>'27-28'!I207</f>
        <v>0</v>
      </c>
      <c r="J207" s="225"/>
      <c r="K207" s="429"/>
    </row>
    <row r="208" spans="1:16" x14ac:dyDescent="0.3">
      <c r="A208" s="67"/>
      <c r="B208" s="533" t="s">
        <v>383</v>
      </c>
      <c r="C208" s="156">
        <f>'21-22'!I208</f>
        <v>660000</v>
      </c>
      <c r="D208" s="156">
        <f>'22-23'!J208</f>
        <v>0</v>
      </c>
      <c r="E208" s="156">
        <f>'23-24'!J208</f>
        <v>0</v>
      </c>
      <c r="F208" s="156">
        <f>'24-25'!I208</f>
        <v>0</v>
      </c>
      <c r="G208" s="156">
        <f>'25-26'!I208</f>
        <v>0</v>
      </c>
      <c r="H208" s="156">
        <f>'26-27'!I208</f>
        <v>0</v>
      </c>
      <c r="I208" s="156">
        <f>'27-28'!I208</f>
        <v>0</v>
      </c>
      <c r="J208" s="430" t="s">
        <v>455</v>
      </c>
    </row>
    <row r="209" spans="1:15" x14ac:dyDescent="0.3">
      <c r="A209" s="67"/>
      <c r="B209" s="139"/>
      <c r="C209" s="143">
        <v>0</v>
      </c>
      <c r="D209" s="143">
        <v>0</v>
      </c>
      <c r="E209" s="143">
        <v>0</v>
      </c>
      <c r="F209" s="143">
        <v>0</v>
      </c>
      <c r="G209" s="143">
        <v>0</v>
      </c>
      <c r="H209" s="143">
        <v>0</v>
      </c>
      <c r="I209" s="143">
        <v>0</v>
      </c>
      <c r="J209" s="225"/>
    </row>
    <row r="210" spans="1:15" ht="15" thickBot="1" x14ac:dyDescent="0.35">
      <c r="A210" s="74"/>
      <c r="B210" s="62"/>
      <c r="C210" s="153"/>
      <c r="D210" s="153"/>
      <c r="E210" s="153"/>
      <c r="F210" s="153"/>
      <c r="G210" s="153"/>
      <c r="H210" s="153"/>
      <c r="I210" s="153"/>
      <c r="J210" s="225"/>
    </row>
    <row r="211" spans="1:15" ht="15" thickBot="1" x14ac:dyDescent="0.35">
      <c r="A211" s="116"/>
      <c r="B211" s="122" t="s">
        <v>145</v>
      </c>
      <c r="C211" s="77">
        <f>C85-C203-C205-C206-C207-C208-C209</f>
        <v>6.0000000055879354E-2</v>
      </c>
      <c r="D211" s="77">
        <f>D85-D203-D205-D206-D207-D208-D209</f>
        <v>946.84849999984726</v>
      </c>
      <c r="E211" s="77">
        <f t="shared" ref="E211:I211" si="54">E85-E203-E205-E206-E207-E208-E209</f>
        <v>40540.277986499947</v>
      </c>
      <c r="F211" s="77">
        <f t="shared" si="54"/>
        <v>60280.668618067168</v>
      </c>
      <c r="G211" s="77">
        <f t="shared" si="54"/>
        <v>65930.667953981087</v>
      </c>
      <c r="H211" s="77">
        <f t="shared" si="54"/>
        <v>86666.804049665108</v>
      </c>
      <c r="I211" s="77">
        <f t="shared" si="54"/>
        <v>76961.207592386636</v>
      </c>
      <c r="J211" s="225"/>
      <c r="K211" s="550">
        <v>78881.560827875044</v>
      </c>
      <c r="L211" s="550">
        <v>140725.16352608101</v>
      </c>
      <c r="M211" s="550">
        <v>179503.42025969736</v>
      </c>
      <c r="N211" s="550">
        <v>222760.51321897842</v>
      </c>
      <c r="O211" s="550">
        <v>240965.55288542993</v>
      </c>
    </row>
    <row r="212" spans="1:15" ht="15" thickBot="1" x14ac:dyDescent="0.35">
      <c r="A212" s="78"/>
      <c r="B212" s="123"/>
      <c r="C212" s="165">
        <f t="shared" ref="C212:I212" si="55">C211/(C85-C74)</f>
        <v>4.0220542679612782E-8</v>
      </c>
      <c r="D212" s="165">
        <f t="shared" si="55"/>
        <v>6.4059119994003548E-4</v>
      </c>
      <c r="E212" s="165">
        <f t="shared" si="55"/>
        <v>1.4941342558229679E-2</v>
      </c>
      <c r="F212" s="165">
        <f t="shared" si="55"/>
        <v>1.5814263383891136E-2</v>
      </c>
      <c r="G212" s="165">
        <f t="shared" si="55"/>
        <v>1.3974034837911133E-2</v>
      </c>
      <c r="H212" s="165">
        <f t="shared" si="55"/>
        <v>1.6985544795334855E-2</v>
      </c>
      <c r="I212" s="165">
        <f t="shared" si="55"/>
        <v>1.4166971167817803E-2</v>
      </c>
      <c r="J212" s="225"/>
      <c r="K212" s="550">
        <f t="shared" ref="K212:N212" si="56">K211-E211</f>
        <v>38341.282841375098</v>
      </c>
      <c r="L212" s="550">
        <f t="shared" si="56"/>
        <v>80444.494908013847</v>
      </c>
      <c r="M212" s="550">
        <f t="shared" si="56"/>
        <v>113572.75230571628</v>
      </c>
      <c r="N212" s="550">
        <f t="shared" si="56"/>
        <v>136093.70916931331</v>
      </c>
      <c r="O212" s="550">
        <f>O211-I211</f>
        <v>164004.3452930433</v>
      </c>
    </row>
    <row r="213" spans="1:15" x14ac:dyDescent="0.3">
      <c r="B213" s="3" t="str">
        <f t="shared" ref="B213:I213" si="57">B1</f>
        <v xml:space="preserve">Young Women's Leadership Academy </v>
      </c>
      <c r="C213" s="3" t="str">
        <f t="shared" si="57"/>
        <v>21-22(Pre-Op)</v>
      </c>
      <c r="D213" s="3" t="str">
        <f t="shared" si="57"/>
        <v>22-23</v>
      </c>
      <c r="E213" s="3" t="str">
        <f t="shared" si="57"/>
        <v>23-24</v>
      </c>
      <c r="F213" s="3" t="str">
        <f t="shared" si="57"/>
        <v>24-25</v>
      </c>
      <c r="G213" s="3" t="str">
        <f t="shared" si="57"/>
        <v>25-26</v>
      </c>
      <c r="H213" s="3" t="str">
        <f t="shared" si="57"/>
        <v>26-27</v>
      </c>
      <c r="I213" s="3" t="str">
        <f t="shared" si="57"/>
        <v>27-28</v>
      </c>
      <c r="J213" s="230"/>
    </row>
    <row r="214" spans="1:15" hidden="1" x14ac:dyDescent="0.3"/>
    <row r="215" spans="1:15" hidden="1" x14ac:dyDescent="0.3"/>
    <row r="216" spans="1:15" hidden="1" x14ac:dyDescent="0.3">
      <c r="A216" s="113"/>
      <c r="B216" s="126" t="s">
        <v>146</v>
      </c>
      <c r="C216" s="7"/>
      <c r="D216" s="7"/>
      <c r="E216" s="7"/>
      <c r="F216" s="7"/>
      <c r="G216" s="7"/>
      <c r="H216" s="7"/>
      <c r="I216" s="7"/>
    </row>
    <row r="217" spans="1:15" hidden="1" x14ac:dyDescent="0.3">
      <c r="A217" s="113"/>
      <c r="B217" s="126" t="s">
        <v>147</v>
      </c>
      <c r="C217" s="7"/>
      <c r="D217" s="7"/>
      <c r="E217" s="7"/>
      <c r="F217" s="7"/>
      <c r="G217" s="7"/>
      <c r="H217" s="7"/>
      <c r="I217" s="7"/>
    </row>
    <row r="218" spans="1:15" hidden="1" x14ac:dyDescent="0.3"/>
    <row r="219" spans="1:15" ht="15" thickBot="1" x14ac:dyDescent="0.35"/>
    <row r="220" spans="1:15" ht="15" thickBot="1" x14ac:dyDescent="0.35">
      <c r="A220" s="116"/>
      <c r="B220" s="122" t="s">
        <v>49</v>
      </c>
      <c r="C220" s="269">
        <f>C74-((C125*1.4725)+C179)</f>
        <v>-5000</v>
      </c>
      <c r="D220" s="269">
        <f>D74-((D125*1.4725)+D179)</f>
        <v>-37491.680000000008</v>
      </c>
      <c r="E220" s="269">
        <f>E74-((E125*1.4775)+E179)</f>
        <v>-50200.874999999971</v>
      </c>
      <c r="F220" s="269">
        <f>F74-((F125*1.4825)+F179)</f>
        <v>-60375.049999999988</v>
      </c>
      <c r="G220" s="269">
        <f>G74-((G125*1.4875)+G179)</f>
        <v>-66744.844999999972</v>
      </c>
      <c r="H220" s="269">
        <f>H74-((H125*1.4925)+H179)</f>
        <v>-69310.260000000009</v>
      </c>
      <c r="I220" s="269">
        <f>I74-((I125*1.4925)+I179)</f>
        <v>-71766.524999999965</v>
      </c>
    </row>
    <row r="221" spans="1:15" ht="15" thickBot="1" x14ac:dyDescent="0.35">
      <c r="A221" s="116"/>
      <c r="B221" s="122" t="s">
        <v>16</v>
      </c>
      <c r="C221" s="269">
        <f>(C75+C76)-(((C109+C118+C119+C120+C121+C122)*1.4725)+C146+C151)</f>
        <v>0</v>
      </c>
      <c r="D221" s="269">
        <f>(D75+D76)-(((D109+D118+D119+D120+D121+D122)*1.4725)+D146+D151)</f>
        <v>-87827.8</v>
      </c>
      <c r="E221" s="269">
        <f>(E75+E76)-(((E109+E118+E119+E120+E121+E122)*1.4775)+E146+E151)</f>
        <v>-136266.75</v>
      </c>
      <c r="F221" s="269">
        <f>(F75+F76)-(((F109+F118+F119+F120+F121+F122)*1.4825)+F146+F151)</f>
        <v>-172061</v>
      </c>
      <c r="G221" s="269">
        <f>(G75+G76)-(((G109+G118+G119+G120+G121+G122)*1.4875)+G146+G151)</f>
        <v>-185201.7</v>
      </c>
      <c r="H221" s="269">
        <f>(H75+H76)-(((H109+H118+H119+H120+H121+H122)*1.4925)+H146+H151)</f>
        <v>-167274.59999999998</v>
      </c>
      <c r="I221" s="269">
        <f>(I75+I76)-(((I109+I118+I119+I120+I121+I122)*1.4925)+I146+I151)</f>
        <v>-214172.25000000003</v>
      </c>
    </row>
    <row r="223" spans="1:15" x14ac:dyDescent="0.3">
      <c r="C223" s="125" t="b">
        <f>ROUND(C211,0)=ROUND('21-22'!I211,0)</f>
        <v>1</v>
      </c>
      <c r="D223" s="125" t="b">
        <f>ROUND(D211,0)=ROUND('22-23'!J211,0)</f>
        <v>1</v>
      </c>
      <c r="E223" s="125" t="b">
        <f>ROUND(E211,0)=ROUND('23-24'!J211,0)</f>
        <v>1</v>
      </c>
      <c r="F223" s="125" t="b">
        <f>ROUND(F211,0)=ROUND('24-25'!I211,0)</f>
        <v>1</v>
      </c>
      <c r="G223" s="125" t="b">
        <f>ROUND(G211,0)=ROUND('25-26'!I211,0)</f>
        <v>1</v>
      </c>
      <c r="H223" s="125" t="b">
        <f>ROUND(H211,0)=ROUND('26-27'!I211,0)</f>
        <v>1</v>
      </c>
      <c r="I223" s="125" t="b">
        <f>ROUND(I211,0)=ROUND('27-28'!I211,0)</f>
        <v>1</v>
      </c>
    </row>
    <row r="225" spans="2:9" x14ac:dyDescent="0.3">
      <c r="B225" s="246" t="s">
        <v>195</v>
      </c>
      <c r="C225" s="247">
        <f>C125-C211</f>
        <v>-6.0000000055879354E-2</v>
      </c>
      <c r="D225" s="247">
        <f t="shared" ref="D225:I225" si="58">D85-D203</f>
        <v>55946.848499999847</v>
      </c>
      <c r="E225" s="247">
        <f t="shared" si="58"/>
        <v>190540.27798649995</v>
      </c>
      <c r="F225" s="247">
        <f t="shared" si="58"/>
        <v>465280.66861806717</v>
      </c>
      <c r="G225" s="247">
        <f t="shared" si="58"/>
        <v>566510.66795398109</v>
      </c>
      <c r="H225" s="247">
        <f t="shared" si="58"/>
        <v>630446.80404966511</v>
      </c>
      <c r="I225" s="247">
        <f t="shared" si="58"/>
        <v>665561.20759238675</v>
      </c>
    </row>
    <row r="226" spans="2:9" x14ac:dyDescent="0.3">
      <c r="C226" s="248"/>
      <c r="D226" s="248"/>
      <c r="E226" s="248"/>
      <c r="F226" s="248"/>
      <c r="G226" s="248"/>
      <c r="H226" s="248"/>
      <c r="I226" s="248"/>
    </row>
    <row r="227" spans="2:9" x14ac:dyDescent="0.3">
      <c r="B227" s="62" t="str">
        <f>B206</f>
        <v>Scheduled Lease Payment</v>
      </c>
      <c r="C227" s="249">
        <f>C206</f>
        <v>0</v>
      </c>
      <c r="D227" s="249">
        <f t="shared" ref="D227:I229" si="59">D206</f>
        <v>50416.666666666664</v>
      </c>
      <c r="E227" s="249">
        <f t="shared" si="59"/>
        <v>150000</v>
      </c>
      <c r="F227" s="249">
        <f t="shared" si="59"/>
        <v>405000</v>
      </c>
      <c r="G227" s="249">
        <f t="shared" si="59"/>
        <v>500580</v>
      </c>
      <c r="H227" s="249">
        <f t="shared" si="59"/>
        <v>543780</v>
      </c>
      <c r="I227" s="249">
        <f t="shared" si="59"/>
        <v>588600.00000000012</v>
      </c>
    </row>
    <row r="228" spans="2:9" x14ac:dyDescent="0.3">
      <c r="B228" s="62" t="str">
        <f t="shared" ref="B228:C229" si="60">B207</f>
        <v>Scheduled Bond Payment</v>
      </c>
      <c r="C228" s="249">
        <f t="shared" si="60"/>
        <v>0</v>
      </c>
      <c r="D228" s="249">
        <f t="shared" si="59"/>
        <v>0</v>
      </c>
      <c r="E228" s="249">
        <f t="shared" si="59"/>
        <v>0</v>
      </c>
      <c r="F228" s="249">
        <f t="shared" si="59"/>
        <v>0</v>
      </c>
      <c r="G228" s="249">
        <f t="shared" si="59"/>
        <v>0</v>
      </c>
      <c r="H228" s="249">
        <f t="shared" si="59"/>
        <v>0</v>
      </c>
      <c r="I228" s="249">
        <f t="shared" si="59"/>
        <v>0</v>
      </c>
    </row>
    <row r="229" spans="2:9" x14ac:dyDescent="0.3">
      <c r="B229" s="62" t="str">
        <f t="shared" si="60"/>
        <v>Improvements / Loan</v>
      </c>
      <c r="C229" s="249">
        <f t="shared" si="60"/>
        <v>660000</v>
      </c>
      <c r="D229" s="249">
        <f t="shared" si="59"/>
        <v>0</v>
      </c>
      <c r="E229" s="249">
        <f t="shared" si="59"/>
        <v>0</v>
      </c>
      <c r="F229" s="249">
        <f t="shared" si="59"/>
        <v>0</v>
      </c>
      <c r="G229" s="249">
        <f t="shared" si="59"/>
        <v>0</v>
      </c>
      <c r="H229" s="249">
        <f t="shared" si="59"/>
        <v>0</v>
      </c>
      <c r="I229" s="249">
        <f t="shared" si="59"/>
        <v>0</v>
      </c>
    </row>
    <row r="230" spans="2:9" x14ac:dyDescent="0.3">
      <c r="B230" s="251" t="s">
        <v>196</v>
      </c>
      <c r="C230" s="252">
        <f t="shared" ref="C230:I230" si="61">SUM(C227:C229)</f>
        <v>660000</v>
      </c>
      <c r="D230" s="252">
        <f t="shared" si="61"/>
        <v>50416.666666666664</v>
      </c>
      <c r="E230" s="252">
        <f t="shared" si="61"/>
        <v>150000</v>
      </c>
      <c r="F230" s="252">
        <f t="shared" si="61"/>
        <v>405000</v>
      </c>
      <c r="G230" s="252">
        <f t="shared" si="61"/>
        <v>500580</v>
      </c>
      <c r="H230" s="252">
        <f t="shared" si="61"/>
        <v>543780</v>
      </c>
      <c r="I230" s="252">
        <f t="shared" si="61"/>
        <v>588600.00000000012</v>
      </c>
    </row>
    <row r="231" spans="2:9" x14ac:dyDescent="0.3">
      <c r="C231" s="248"/>
      <c r="D231" s="248"/>
      <c r="E231" s="248"/>
      <c r="F231" s="248"/>
      <c r="G231" s="248"/>
      <c r="H231" s="248"/>
      <c r="I231" s="248"/>
    </row>
    <row r="232" spans="2:9" x14ac:dyDescent="0.3">
      <c r="B232" s="246" t="s">
        <v>197</v>
      </c>
      <c r="C232" s="253"/>
      <c r="D232" s="253">
        <f t="shared" ref="D232:I232" si="62">D225/D230</f>
        <v>1.1096895570247904</v>
      </c>
      <c r="E232" s="253">
        <f t="shared" si="62"/>
        <v>1.2702685199099997</v>
      </c>
      <c r="F232" s="253">
        <f t="shared" si="62"/>
        <v>1.1488411570816472</v>
      </c>
      <c r="G232" s="253">
        <f t="shared" si="62"/>
        <v>1.1317085539853391</v>
      </c>
      <c r="H232" s="253">
        <f t="shared" si="62"/>
        <v>1.1593784325456344</v>
      </c>
      <c r="I232" s="253">
        <f t="shared" si="62"/>
        <v>1.1307529860557026</v>
      </c>
    </row>
    <row r="233" spans="2:9" x14ac:dyDescent="0.3">
      <c r="C233" s="248"/>
      <c r="D233" s="248"/>
      <c r="E233" s="248"/>
      <c r="F233" s="248"/>
      <c r="G233" s="248"/>
      <c r="H233" s="248"/>
      <c r="I233" s="248"/>
    </row>
    <row r="234" spans="2:9" x14ac:dyDescent="0.3">
      <c r="B234" s="254" t="s">
        <v>198</v>
      </c>
      <c r="C234" s="254"/>
      <c r="D234" s="254"/>
      <c r="E234" s="254"/>
      <c r="F234" s="254"/>
      <c r="G234" s="254"/>
      <c r="H234" s="254"/>
      <c r="I234" s="254"/>
    </row>
    <row r="235" spans="2:9" x14ac:dyDescent="0.3">
      <c r="B235" s="62" t="s">
        <v>199</v>
      </c>
      <c r="C235" s="255">
        <v>0</v>
      </c>
      <c r="D235" s="255">
        <f t="shared" ref="D235:I235" si="63">C238</f>
        <v>6.0000000055879354E-2</v>
      </c>
      <c r="E235" s="255">
        <f t="shared" si="63"/>
        <v>946.90849999990314</v>
      </c>
      <c r="F235" s="255">
        <f t="shared" si="63"/>
        <v>41487.18648649985</v>
      </c>
      <c r="G235" s="255">
        <f t="shared" si="63"/>
        <v>101767.85510456702</v>
      </c>
      <c r="H235" s="255">
        <f t="shared" si="63"/>
        <v>167698.5230585481</v>
      </c>
      <c r="I235" s="255">
        <f t="shared" si="63"/>
        <v>254365.32710821321</v>
      </c>
    </row>
    <row r="236" spans="2:9" x14ac:dyDescent="0.3">
      <c r="B236" s="248" t="s">
        <v>200</v>
      </c>
      <c r="C236" s="256">
        <v>0</v>
      </c>
      <c r="D236" s="256">
        <v>0</v>
      </c>
      <c r="E236" s="256">
        <v>0</v>
      </c>
      <c r="F236" s="256">
        <v>0</v>
      </c>
      <c r="G236" s="256">
        <v>0</v>
      </c>
      <c r="H236" s="256">
        <v>0</v>
      </c>
      <c r="I236" s="256">
        <v>0</v>
      </c>
    </row>
    <row r="237" spans="2:9" x14ac:dyDescent="0.3">
      <c r="B237" s="248" t="s">
        <v>201</v>
      </c>
      <c r="C237" s="256">
        <f>C211</f>
        <v>6.0000000055879354E-2</v>
      </c>
      <c r="D237" s="256">
        <f t="shared" ref="D237:I237" si="64">D211</f>
        <v>946.84849999984726</v>
      </c>
      <c r="E237" s="256">
        <f>E211</f>
        <v>40540.277986499947</v>
      </c>
      <c r="F237" s="256">
        <f t="shared" si="64"/>
        <v>60280.668618067168</v>
      </c>
      <c r="G237" s="256">
        <f t="shared" si="64"/>
        <v>65930.667953981087</v>
      </c>
      <c r="H237" s="256">
        <f t="shared" si="64"/>
        <v>86666.804049665108</v>
      </c>
      <c r="I237" s="256">
        <f t="shared" si="64"/>
        <v>76961.207592386636</v>
      </c>
    </row>
    <row r="238" spans="2:9" x14ac:dyDescent="0.3">
      <c r="B238" s="257" t="s">
        <v>202</v>
      </c>
      <c r="C238" s="258">
        <f>C235+C236+C237</f>
        <v>6.0000000055879354E-2</v>
      </c>
      <c r="D238" s="258">
        <f t="shared" ref="D238:I238" si="65">D235+D236+D237</f>
        <v>946.90849999990314</v>
      </c>
      <c r="E238" s="258">
        <f t="shared" si="65"/>
        <v>41487.18648649985</v>
      </c>
      <c r="F238" s="258">
        <f t="shared" si="65"/>
        <v>101767.85510456702</v>
      </c>
      <c r="G238" s="258">
        <f t="shared" si="65"/>
        <v>167698.5230585481</v>
      </c>
      <c r="H238" s="258">
        <f t="shared" si="65"/>
        <v>254365.32710821321</v>
      </c>
      <c r="I238" s="258">
        <f t="shared" si="65"/>
        <v>331326.53470059985</v>
      </c>
    </row>
    <row r="239" spans="2:9" x14ac:dyDescent="0.3">
      <c r="B239" s="246" t="s">
        <v>203</v>
      </c>
      <c r="C239" s="253"/>
      <c r="D239" s="253">
        <f t="shared" ref="D239:I239" si="66">D238/((SUM(D203:D209))/365)</f>
        <v>0.22041237161939409</v>
      </c>
      <c r="E239" s="253">
        <f t="shared" si="66"/>
        <v>5.18457579521084</v>
      </c>
      <c r="F239" s="253">
        <f t="shared" si="66"/>
        <v>9.0082002085993675</v>
      </c>
      <c r="G239" s="253">
        <f t="shared" si="66"/>
        <v>12.005403020659228</v>
      </c>
      <c r="H239" s="253">
        <f t="shared" si="66"/>
        <v>16.920912691659233</v>
      </c>
      <c r="I239" s="253">
        <f t="shared" si="66"/>
        <v>20.667362675200042</v>
      </c>
    </row>
    <row r="241" spans="2:11" x14ac:dyDescent="0.3">
      <c r="D241" s="261"/>
      <c r="E241" s="261"/>
      <c r="F241" s="261"/>
      <c r="G241" s="261"/>
      <c r="H241" s="261"/>
      <c r="I241" s="261"/>
    </row>
    <row r="242" spans="2:11" x14ac:dyDescent="0.3">
      <c r="B242" s="377" t="s">
        <v>308</v>
      </c>
      <c r="C242" s="261">
        <f t="shared" ref="C242:I242" si="67">C128/SUM(C203:C208)</f>
        <v>0.11116489193738568</v>
      </c>
      <c r="D242" s="261">
        <f t="shared" si="67"/>
        <v>0.36289240903659326</v>
      </c>
      <c r="E242" s="261">
        <f t="shared" si="67"/>
        <v>0.37557200484864761</v>
      </c>
      <c r="F242" s="261">
        <f t="shared" si="67"/>
        <v>0.38218968609197046</v>
      </c>
      <c r="G242" s="261">
        <f t="shared" si="67"/>
        <v>0.38583539570963782</v>
      </c>
      <c r="H242" s="261">
        <f t="shared" si="67"/>
        <v>0.38543218989957356</v>
      </c>
      <c r="I242" s="261">
        <f t="shared" si="67"/>
        <v>0.38569095088520949</v>
      </c>
      <c r="J242"/>
      <c r="K242" s="378">
        <f t="shared" ref="K242:K254" si="68">AVERAGE(D242:I242)</f>
        <v>0.37960210607860539</v>
      </c>
    </row>
    <row r="243" spans="2:11" x14ac:dyDescent="0.3">
      <c r="B243" s="377" t="s">
        <v>231</v>
      </c>
      <c r="C243" s="261">
        <f>SUM(C129:C132)/SUM(C203:C208)</f>
        <v>4.479559094885989E-2</v>
      </c>
      <c r="D243" s="261">
        <f t="shared" ref="D243:I243" si="69">SUM(D129:D132)/SUM(D203:D208)</f>
        <v>0.17041913221558763</v>
      </c>
      <c r="E243" s="261">
        <f t="shared" si="69"/>
        <v>0.19065063128504481</v>
      </c>
      <c r="F243" s="261">
        <f t="shared" si="69"/>
        <v>0.19610879014245852</v>
      </c>
      <c r="G243" s="261">
        <f t="shared" si="69"/>
        <v>0.19940039153341552</v>
      </c>
      <c r="H243" s="261">
        <f t="shared" si="69"/>
        <v>0.20185863210805338</v>
      </c>
      <c r="I243" s="261">
        <f t="shared" si="69"/>
        <v>0.2036437919097748</v>
      </c>
      <c r="J243"/>
      <c r="K243" s="378">
        <f t="shared" si="68"/>
        <v>0.19368022819905581</v>
      </c>
    </row>
    <row r="244" spans="2:11" x14ac:dyDescent="0.3">
      <c r="B244" s="377" t="s">
        <v>93</v>
      </c>
      <c r="C244" s="261">
        <f>C154/SUM(C203:C208)</f>
        <v>0</v>
      </c>
      <c r="D244" s="261">
        <f t="shared" ref="D244:I244" si="70">D154/SUM(D203:D208)</f>
        <v>2.4871369240171406E-3</v>
      </c>
      <c r="E244" s="261">
        <f t="shared" si="70"/>
        <v>2.3624110793159839E-3</v>
      </c>
      <c r="F244" s="261">
        <f t="shared" si="70"/>
        <v>2.226266879788543E-3</v>
      </c>
      <c r="G244" s="261">
        <f t="shared" si="70"/>
        <v>2.1770962035311194E-3</v>
      </c>
      <c r="H244" s="261">
        <f t="shared" si="70"/>
        <v>2.1104815886083717E-3</v>
      </c>
      <c r="I244" s="261">
        <f t="shared" si="70"/>
        <v>2.0610251230564923E-3</v>
      </c>
      <c r="J244"/>
      <c r="K244" s="378">
        <f t="shared" si="68"/>
        <v>2.2374029663862747E-3</v>
      </c>
    </row>
    <row r="245" spans="2:11" x14ac:dyDescent="0.3">
      <c r="B245" s="377" t="s">
        <v>309</v>
      </c>
      <c r="C245" s="261">
        <f>(C152+C153+C160+C162)/SUM(C203:C208)</f>
        <v>8.3792800541347082E-3</v>
      </c>
      <c r="D245" s="261">
        <f t="shared" ref="D245:I245" si="71">(D152+D153+D160+D162)/SUM(D203:D208)</f>
        <v>4.963512134109542E-2</v>
      </c>
      <c r="E245" s="261">
        <f t="shared" si="71"/>
        <v>5.3216557709061162E-2</v>
      </c>
      <c r="F245" s="261">
        <f t="shared" si="71"/>
        <v>5.9376594012879466E-2</v>
      </c>
      <c r="G245" s="261">
        <f t="shared" si="71"/>
        <v>5.9177708332552717E-2</v>
      </c>
      <c r="H245" s="261">
        <f t="shared" si="71"/>
        <v>5.9102172829636902E-2</v>
      </c>
      <c r="I245" s="261">
        <f t="shared" si="71"/>
        <v>5.8410950819018058E-2</v>
      </c>
      <c r="J245"/>
      <c r="K245" s="378">
        <f t="shared" si="68"/>
        <v>5.6486517507373955E-2</v>
      </c>
    </row>
    <row r="246" spans="2:11" x14ac:dyDescent="0.3">
      <c r="B246" s="377" t="s">
        <v>310</v>
      </c>
      <c r="C246" s="261">
        <f>(C151+C150)/SUM(C203:C208)</f>
        <v>0</v>
      </c>
      <c r="D246" s="261">
        <f t="shared" ref="D246:I246" si="72">(D151+D150+D134)/SUM(D203:D208)</f>
        <v>1.9610118054750533E-2</v>
      </c>
      <c r="E246" s="261">
        <f t="shared" si="72"/>
        <v>3.4708612052993894E-2</v>
      </c>
      <c r="F246" s="261">
        <f t="shared" si="72"/>
        <v>3.7131124396996062E-2</v>
      </c>
      <c r="G246" s="261">
        <f t="shared" si="72"/>
        <v>3.8441438775773128E-2</v>
      </c>
      <c r="H246" s="261">
        <f t="shared" si="72"/>
        <v>3.9403857674013207E-2</v>
      </c>
      <c r="I246" s="261">
        <f t="shared" si="72"/>
        <v>3.9894337041982385E-2</v>
      </c>
      <c r="J246"/>
      <c r="K246" s="378">
        <f t="shared" si="68"/>
        <v>3.4864914666084872E-2</v>
      </c>
    </row>
    <row r="247" spans="2:11" x14ac:dyDescent="0.3">
      <c r="B247" s="377" t="s">
        <v>311</v>
      </c>
      <c r="C247" s="261">
        <f t="shared" ref="C247:D247" si="73">(C170+C141)/SUM(C203:C208)</f>
        <v>0.27645993302448157</v>
      </c>
      <c r="D247" s="261">
        <f t="shared" si="73"/>
        <v>0.15271761114995699</v>
      </c>
      <c r="E247" s="261">
        <f>(E170+E141)/SUM(E203:E208)</f>
        <v>7.1292499173180465E-2</v>
      </c>
      <c r="F247" s="261">
        <f t="shared" ref="F247:I247" si="74">(F170+F140)/SUM(F203:F208)</f>
        <v>1.1155585672143026E-2</v>
      </c>
      <c r="G247" s="261">
        <f t="shared" si="74"/>
        <v>1.5475035176450928E-2</v>
      </c>
      <c r="H247" s="261">
        <f t="shared" si="74"/>
        <v>1.7285719021723746E-2</v>
      </c>
      <c r="I247" s="261">
        <f t="shared" si="74"/>
        <v>1.7403742181839533E-2</v>
      </c>
      <c r="J247"/>
      <c r="K247" s="378">
        <f t="shared" si="68"/>
        <v>4.7555032062549123E-2</v>
      </c>
    </row>
    <row r="248" spans="2:11" x14ac:dyDescent="0.3">
      <c r="B248" s="377" t="s">
        <v>79</v>
      </c>
      <c r="C248" s="261">
        <f>(C138+C142+C143+C144+C145+C146)/SUM(C203:C208)</f>
        <v>1.60547005837221E-2</v>
      </c>
      <c r="D248" s="261">
        <f t="shared" ref="D248:I248" si="75">(D138+D142+D143+D144+D145+D146)/SUM(D203:D208)</f>
        <v>1.1547840510953224E-2</v>
      </c>
      <c r="E248" s="261">
        <f t="shared" si="75"/>
        <v>2.475190529972025E-2</v>
      </c>
      <c r="F248" s="261">
        <f t="shared" si="75"/>
        <v>2.8177796844173267E-2</v>
      </c>
      <c r="G248" s="261">
        <f t="shared" si="75"/>
        <v>2.6523151164554094E-2</v>
      </c>
      <c r="H248" s="261">
        <f t="shared" si="75"/>
        <v>2.5134158999201767E-2</v>
      </c>
      <c r="I248" s="261">
        <f t="shared" si="75"/>
        <v>2.4624294189963834E-2</v>
      </c>
      <c r="J248"/>
      <c r="K248" s="378">
        <f t="shared" si="68"/>
        <v>2.3459857834761077E-2</v>
      </c>
    </row>
    <row r="249" spans="2:11" x14ac:dyDescent="0.3">
      <c r="B249" s="377" t="s">
        <v>312</v>
      </c>
      <c r="C249" s="261">
        <f>(C177+C201+C206+C207+C208)/SUM(C203:C208)</f>
        <v>0.44242598685831258</v>
      </c>
      <c r="D249" s="261">
        <f t="shared" ref="D249:I249" si="76">(D177+D201+D206+D207+D208)/SUM(D203:D208)</f>
        <v>0.12468633869933793</v>
      </c>
      <c r="E249" s="261">
        <f t="shared" si="76"/>
        <v>0.110846724490427</v>
      </c>
      <c r="F249" s="261">
        <f t="shared" si="76"/>
        <v>0.14977456584200408</v>
      </c>
      <c r="G249" s="261">
        <f t="shared" si="76"/>
        <v>0.14483224667536793</v>
      </c>
      <c r="H249" s="261">
        <f t="shared" si="76"/>
        <v>0.14495332220388368</v>
      </c>
      <c r="I249" s="261">
        <f t="shared" si="76"/>
        <v>0.1453026928182507</v>
      </c>
      <c r="J249"/>
      <c r="K249" s="378">
        <f t="shared" si="68"/>
        <v>0.13673264845487856</v>
      </c>
    </row>
    <row r="250" spans="2:11" x14ac:dyDescent="0.3">
      <c r="B250" s="377" t="s">
        <v>49</v>
      </c>
      <c r="C250" s="261">
        <f>(C179)/SUM(C203:C208)</f>
        <v>3.3517120216538833E-3</v>
      </c>
      <c r="D250" s="261">
        <f t="shared" ref="D250:I250" si="77">(D179)/SUM(D203:D208)</f>
        <v>6.2440529068574939E-2</v>
      </c>
      <c r="E250" s="261">
        <f t="shared" si="77"/>
        <v>9.1425308769528577E-2</v>
      </c>
      <c r="F250" s="261">
        <f t="shared" si="77"/>
        <v>9.7137262240185401E-2</v>
      </c>
      <c r="G250" s="261">
        <f t="shared" si="77"/>
        <v>9.4272972847932124E-2</v>
      </c>
      <c r="H250" s="261">
        <f t="shared" si="77"/>
        <v>9.2466978182346934E-2</v>
      </c>
      <c r="I250" s="261">
        <f t="shared" si="77"/>
        <v>9.1269575225501678E-2</v>
      </c>
      <c r="J250" s="261"/>
      <c r="K250" s="378">
        <f t="shared" si="68"/>
        <v>8.8168771055678274E-2</v>
      </c>
    </row>
    <row r="251" spans="2:11" x14ac:dyDescent="0.3">
      <c r="B251" s="377" t="s">
        <v>171</v>
      </c>
      <c r="C251" s="261">
        <f>(C147)/SUM(C203:C208)</f>
        <v>0</v>
      </c>
      <c r="D251" s="261">
        <f t="shared" ref="D251:I251" si="78">(D147)/SUM(D203:D208)</f>
        <v>2.4804344088706224E-3</v>
      </c>
      <c r="E251" s="261">
        <f t="shared" si="78"/>
        <v>0</v>
      </c>
      <c r="F251" s="261">
        <f t="shared" si="78"/>
        <v>0</v>
      </c>
      <c r="G251" s="261">
        <f t="shared" si="78"/>
        <v>0</v>
      </c>
      <c r="H251" s="261">
        <f t="shared" si="78"/>
        <v>0</v>
      </c>
      <c r="I251" s="261">
        <f t="shared" si="78"/>
        <v>0</v>
      </c>
      <c r="J251"/>
      <c r="K251" s="378">
        <f t="shared" si="68"/>
        <v>4.1340573481177039E-4</v>
      </c>
    </row>
    <row r="252" spans="2:11" x14ac:dyDescent="0.3">
      <c r="B252" s="377" t="s">
        <v>313</v>
      </c>
      <c r="C252" s="261">
        <f>C181/SUM(C203:C208)</f>
        <v>2.3562535512226798E-2</v>
      </c>
      <c r="D252" s="261">
        <f t="shared" ref="D252:I252" si="79">D181/SUM(D203:D208)</f>
        <v>1.5433003477234564E-3</v>
      </c>
      <c r="E252" s="261">
        <f t="shared" si="79"/>
        <v>1.7118920864608578E-3</v>
      </c>
      <c r="F252" s="261">
        <f t="shared" si="79"/>
        <v>1.2125636600155464E-3</v>
      </c>
      <c r="G252" s="261">
        <f t="shared" si="79"/>
        <v>9.8067396555455823E-4</v>
      </c>
      <c r="H252" s="261">
        <f t="shared" si="79"/>
        <v>9.1126148040085128E-4</v>
      </c>
      <c r="I252" s="261">
        <f t="shared" si="79"/>
        <v>8.544880278011991E-4</v>
      </c>
      <c r="J252"/>
      <c r="K252" s="378">
        <f t="shared" si="68"/>
        <v>1.2023632613260783E-3</v>
      </c>
    </row>
    <row r="253" spans="2:11" x14ac:dyDescent="0.3">
      <c r="B253" s="377" t="s">
        <v>314</v>
      </c>
      <c r="C253" s="261">
        <f>(C155+C156)/SUM(C203:C208)</f>
        <v>0</v>
      </c>
      <c r="D253" s="261">
        <f t="shared" ref="D253:I253" si="80">(D155+D156)/SUM(D203:D208)</f>
        <v>9.5659112462197714E-4</v>
      </c>
      <c r="E253" s="261">
        <f t="shared" si="80"/>
        <v>8.5594604323042892E-3</v>
      </c>
      <c r="F253" s="261">
        <f t="shared" si="80"/>
        <v>6.3053310320808405E-3</v>
      </c>
      <c r="G253" s="261">
        <f t="shared" si="80"/>
        <v>5.3054461536501604E-3</v>
      </c>
      <c r="H253" s="261">
        <f t="shared" si="80"/>
        <v>5.1308577653969931E-3</v>
      </c>
      <c r="I253" s="261">
        <f t="shared" si="80"/>
        <v>5.0090301811713239E-3</v>
      </c>
      <c r="J253"/>
      <c r="K253" s="378">
        <f t="shared" si="68"/>
        <v>5.2111194482042647E-3</v>
      </c>
    </row>
    <row r="254" spans="2:11" x14ac:dyDescent="0.3">
      <c r="B254" s="377" t="s">
        <v>315</v>
      </c>
      <c r="C254" s="261">
        <f>(C157+C158+C165+C166+C167+C169+C171)/SUM(C203:C208)</f>
        <v>3.4553469573634213E-2</v>
      </c>
      <c r="D254" s="261">
        <f t="shared" ref="D254:I254" si="81">(D157+D158+D165+D166+D167+D169+D171)/SUM(D203:D208)</f>
        <v>1.9546345313109066E-2</v>
      </c>
      <c r="E254" s="261">
        <f t="shared" si="81"/>
        <v>1.9253307918007976E-2</v>
      </c>
      <c r="F254" s="261">
        <f t="shared" si="81"/>
        <v>1.2897918395219365E-2</v>
      </c>
      <c r="G254" s="261">
        <f t="shared" si="81"/>
        <v>1.1421942039054804E-2</v>
      </c>
      <c r="H254" s="261">
        <f t="shared" si="81"/>
        <v>1.0115684429653996E-2</v>
      </c>
      <c r="I254" s="261">
        <f t="shared" si="81"/>
        <v>9.879943366235204E-3</v>
      </c>
      <c r="J254"/>
      <c r="K254" s="378">
        <f t="shared" si="68"/>
        <v>1.3852523576880068E-2</v>
      </c>
    </row>
    <row r="255" spans="2:11" x14ac:dyDescent="0.3">
      <c r="B255" s="377" t="s">
        <v>116</v>
      </c>
      <c r="C255" s="261">
        <f>(C159+C168+C180+C182+C183+C185+C187+C133+C186)/SUM(C203:C208)</f>
        <v>3.9251899485588625E-2</v>
      </c>
      <c r="D255" s="261">
        <f t="shared" ref="D255:I255" si="82">(D159+D168+D180+D182+D183+D185+D187+D133+D186)/SUM(D203:D208)</f>
        <v>1.6114174479573924E-2</v>
      </c>
      <c r="E255" s="261">
        <f t="shared" si="82"/>
        <v>1.5648684855307148E-2</v>
      </c>
      <c r="F255" s="261">
        <f t="shared" si="82"/>
        <v>1.630651479008538E-2</v>
      </c>
      <c r="G255" s="261">
        <f t="shared" si="82"/>
        <v>1.6156501422525223E-2</v>
      </c>
      <c r="H255" s="261">
        <f t="shared" si="82"/>
        <v>1.6094683817506717E-2</v>
      </c>
      <c r="I255" s="261">
        <f t="shared" si="82"/>
        <v>1.5955178230195391E-2</v>
      </c>
      <c r="J255" s="261"/>
      <c r="K255" s="378">
        <f>AVERAGE(D255:I255)</f>
        <v>1.6045956265865632E-2</v>
      </c>
    </row>
    <row r="256" spans="2:11" x14ac:dyDescent="0.3">
      <c r="B256"/>
      <c r="C256"/>
      <c r="D256"/>
      <c r="E256"/>
      <c r="F256"/>
      <c r="G256"/>
      <c r="H256"/>
      <c r="I256"/>
      <c r="J256"/>
      <c r="K256"/>
    </row>
    <row r="257" spans="2:11" x14ac:dyDescent="0.3">
      <c r="B257"/>
      <c r="C257" s="378">
        <f>SUM(C242:C256)</f>
        <v>1</v>
      </c>
      <c r="D257" s="378">
        <f>SUM(D242:D256)</f>
        <v>0.99707708267476614</v>
      </c>
      <c r="E257" s="378">
        <f>SUM(E242:E256)</f>
        <v>1</v>
      </c>
      <c r="F257" s="378">
        <f t="shared" ref="F257:K257" si="83">SUM(F242:F256)</f>
        <v>1</v>
      </c>
      <c r="G257" s="378">
        <f t="shared" si="83"/>
        <v>1</v>
      </c>
      <c r="H257" s="378">
        <f t="shared" si="83"/>
        <v>1.0000000000000002</v>
      </c>
      <c r="I257" s="378">
        <f t="shared" si="83"/>
        <v>1</v>
      </c>
      <c r="J257"/>
      <c r="K257" s="378">
        <f t="shared" si="83"/>
        <v>0.99951284711246113</v>
      </c>
    </row>
    <row r="259" spans="2:11" x14ac:dyDescent="0.3">
      <c r="D259" s="379"/>
      <c r="E259" s="379"/>
      <c r="F259" s="379"/>
      <c r="G259" s="379"/>
      <c r="H259" s="379"/>
      <c r="I259" s="379"/>
    </row>
  </sheetData>
  <phoneticPr fontId="50" type="noConversion"/>
  <pageMargins left="0.7" right="0.7" top="0.75" bottom="0.75" header="0.3" footer="0.3"/>
  <pageSetup scale="51" orientation="portrait" r:id="rId1"/>
  <rowBreaks count="2" manualBreakCount="2">
    <brk id="70" max="8" man="1"/>
    <brk id="14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14</vt:i4>
      </vt:variant>
    </vt:vector>
  </HeadingPairs>
  <TitlesOfParts>
    <vt:vector size="31" baseType="lpstr">
      <vt:lpstr>21-22</vt:lpstr>
      <vt:lpstr>22-23</vt:lpstr>
      <vt:lpstr>23-24</vt:lpstr>
      <vt:lpstr>24-25</vt:lpstr>
      <vt:lpstr>25-26</vt:lpstr>
      <vt:lpstr>26-27</vt:lpstr>
      <vt:lpstr>27-28</vt:lpstr>
      <vt:lpstr>FFE Summary</vt:lpstr>
      <vt:lpstr>6-Year (auto-populated)</vt:lpstr>
      <vt:lpstr>enrollment</vt:lpstr>
      <vt:lpstr>lease projections</vt:lpstr>
      <vt:lpstr>Funding History</vt:lpstr>
      <vt:lpstr>Enrollment Tables</vt:lpstr>
      <vt:lpstr>Staffing Tables</vt:lpstr>
      <vt:lpstr>Staffing Narrative</vt:lpstr>
      <vt:lpstr>Cash Flow</vt:lpstr>
      <vt:lpstr>YWLA Year 1 Budget</vt:lpstr>
      <vt:lpstr>'Staffing Tables'!_Toc4075975</vt:lpstr>
      <vt:lpstr>'Enrollment Tables'!_Toc4075978</vt:lpstr>
      <vt:lpstr>'21-22'!Print_Area</vt:lpstr>
      <vt:lpstr>'22-23'!Print_Area</vt:lpstr>
      <vt:lpstr>'23-24'!Print_Area</vt:lpstr>
      <vt:lpstr>'24-25'!Print_Area</vt:lpstr>
      <vt:lpstr>'25-26'!Print_Area</vt:lpstr>
      <vt:lpstr>'26-27'!Print_Area</vt:lpstr>
      <vt:lpstr>'27-28'!Print_Area</vt:lpstr>
      <vt:lpstr>'6-Year (auto-populated)'!Print_Area</vt:lpstr>
      <vt:lpstr>'Cash Flow'!Print_Area</vt:lpstr>
      <vt:lpstr>'Enrollment Tables'!Print_Area</vt:lpstr>
      <vt:lpstr>'Staffing Tables'!Print_Area</vt:lpstr>
      <vt:lpstr>'YWLA Year 1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Padron</dc:creator>
  <cp:lastModifiedBy>Jennifer J. King</cp:lastModifiedBy>
  <cp:lastPrinted>2022-06-16T21:25:50Z</cp:lastPrinted>
  <dcterms:created xsi:type="dcterms:W3CDTF">2020-05-08T12:44:33Z</dcterms:created>
  <dcterms:modified xsi:type="dcterms:W3CDTF">2022-07-28T23:59:09Z</dcterms:modified>
</cp:coreProperties>
</file>